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fmielcke\Daten\Jet Reports\Berichte\Beispieberichte\"/>
    </mc:Choice>
  </mc:AlternateContent>
  <bookViews>
    <workbookView xWindow="0" yWindow="0" windowWidth="23040" windowHeight="9972" firstSheet="1" activeTab="1"/>
  </bookViews>
  <sheets>
    <sheet name="Options" sheetId="1" state="hidden" r:id="rId1"/>
    <sheet name="Kundenumsatzanalyse" sheetId="2" r:id="rId2"/>
    <sheet name="READ ME" sheetId="298" r:id="rId3"/>
    <sheet name="Tabelle25" sheetId="667" state="veryHidden" r:id="rId4"/>
    <sheet name="Tabelle26" sheetId="668" state="veryHidden" r:id="rId5"/>
    <sheet name="Tabelle27" sheetId="669" state="veryHidden" r:id="rId6"/>
    <sheet name="Tabelle28" sheetId="670" state="veryHidden" r:id="rId7"/>
    <sheet name="Tabelle29" sheetId="671" state="veryHidden" r:id="rId8"/>
    <sheet name="Tabelle30" sheetId="672" state="veryHidden" r:id="rId9"/>
  </sheets>
  <definedNames>
    <definedName name="CustNo">Options!$D$7</definedName>
    <definedName name="CustPostGrp">Options!$D$8</definedName>
    <definedName name="_xlnm.Print_Area" localSheetId="1">Kundenumsatzanalyse!$F$9:$W$52</definedName>
    <definedName name="ReportDate">Options!$D$5</definedName>
    <definedName name="SalesAmt">Options!$D$6</definedName>
    <definedName name="SalespersonCode">Options!$D$9</definedName>
    <definedName name="ShowLYSales">Options!$D$10</definedName>
    <definedName name="TopCustomers">Options!$D$4</definedName>
  </definedNames>
  <calcPr calcId="152511"/>
</workbook>
</file>

<file path=xl/calcChain.xml><?xml version="1.0" encoding="utf-8"?>
<calcChain xmlns="http://schemas.openxmlformats.org/spreadsheetml/2006/main">
  <c r="J26" i="2" l="1"/>
  <c r="J27" i="2"/>
  <c r="J28" i="2"/>
  <c r="J29" i="2"/>
  <c r="J30" i="2"/>
  <c r="J31" i="2"/>
  <c r="J32" i="2"/>
  <c r="J33" i="2"/>
  <c r="J34" i="2"/>
  <c r="J35" i="2"/>
  <c r="J36" i="2"/>
  <c r="J37" i="2"/>
  <c r="J38" i="2"/>
  <c r="J39" i="2"/>
  <c r="J40" i="2"/>
  <c r="J41" i="2"/>
  <c r="J42" i="2"/>
  <c r="J43" i="2"/>
  <c r="J44" i="2"/>
  <c r="J45" i="2"/>
  <c r="I26" i="2"/>
  <c r="I27" i="2"/>
  <c r="I28" i="2"/>
  <c r="I29" i="2"/>
  <c r="I30" i="2"/>
  <c r="I31" i="2"/>
  <c r="I32" i="2"/>
  <c r="I33" i="2"/>
  <c r="I34" i="2"/>
  <c r="I35" i="2"/>
  <c r="I36" i="2"/>
  <c r="I37" i="2"/>
  <c r="I38" i="2"/>
  <c r="I39" i="2"/>
  <c r="I40" i="2"/>
  <c r="I41" i="2"/>
  <c r="I42" i="2"/>
  <c r="I43" i="2"/>
  <c r="I44" i="2"/>
  <c r="I45" i="2"/>
  <c r="G26" i="2"/>
  <c r="G27" i="2"/>
  <c r="G28" i="2"/>
  <c r="G29" i="2"/>
  <c r="G30" i="2"/>
  <c r="G31" i="2"/>
  <c r="G32" i="2"/>
  <c r="G33" i="2"/>
  <c r="G34" i="2"/>
  <c r="G35" i="2"/>
  <c r="G36" i="2"/>
  <c r="G37" i="2"/>
  <c r="G38" i="2"/>
  <c r="G39" i="2"/>
  <c r="G40" i="2"/>
  <c r="G41" i="2"/>
  <c r="G42" i="2"/>
  <c r="G43" i="2"/>
  <c r="G44" i="2"/>
  <c r="G45" i="2"/>
  <c r="F26" i="2"/>
  <c r="F27" i="2"/>
  <c r="F28" i="2"/>
  <c r="F29" i="2"/>
  <c r="F30" i="2"/>
  <c r="F31" i="2"/>
  <c r="F32" i="2"/>
  <c r="F33" i="2"/>
  <c r="F34" i="2"/>
  <c r="F35" i="2"/>
  <c r="F36" i="2"/>
  <c r="F37" i="2"/>
  <c r="F38" i="2"/>
  <c r="F39" i="2"/>
  <c r="F40" i="2"/>
  <c r="F41" i="2"/>
  <c r="F42" i="2"/>
  <c r="F43" i="2"/>
  <c r="F44" i="2"/>
  <c r="F45" i="2"/>
  <c r="E27" i="2"/>
  <c r="E28" i="2"/>
  <c r="E29" i="2"/>
  <c r="E30" i="2"/>
  <c r="E31" i="2"/>
  <c r="E32" i="2"/>
  <c r="E33" i="2"/>
  <c r="E34" i="2"/>
  <c r="E35" i="2"/>
  <c r="E36" i="2"/>
  <c r="E37" i="2"/>
  <c r="E38" i="2"/>
  <c r="E39" i="2"/>
  <c r="E40" i="2"/>
  <c r="E41" i="2"/>
  <c r="E42" i="2"/>
  <c r="E43" i="2"/>
  <c r="E44" i="2"/>
  <c r="E45" i="2"/>
  <c r="W45" i="2"/>
  <c r="S45" i="2"/>
  <c r="O45" i="2"/>
  <c r="H45" i="2"/>
  <c r="W44" i="2"/>
  <c r="S44" i="2"/>
  <c r="O44" i="2"/>
  <c r="H44" i="2"/>
  <c r="W43" i="2"/>
  <c r="S43" i="2"/>
  <c r="O43" i="2"/>
  <c r="H43" i="2"/>
  <c r="W42" i="2"/>
  <c r="S42" i="2"/>
  <c r="O42" i="2"/>
  <c r="H42" i="2"/>
  <c r="W41" i="2"/>
  <c r="S41" i="2"/>
  <c r="O41" i="2"/>
  <c r="H41" i="2"/>
  <c r="W40" i="2"/>
  <c r="S40" i="2"/>
  <c r="O40" i="2"/>
  <c r="H40" i="2"/>
  <c r="W39" i="2"/>
  <c r="S39" i="2"/>
  <c r="O39" i="2"/>
  <c r="H39" i="2"/>
  <c r="W38" i="2"/>
  <c r="S38" i="2"/>
  <c r="O38" i="2"/>
  <c r="H38" i="2"/>
  <c r="W37" i="2"/>
  <c r="S37" i="2"/>
  <c r="O37" i="2"/>
  <c r="H37" i="2"/>
  <c r="W36" i="2"/>
  <c r="S36" i="2"/>
  <c r="O36" i="2"/>
  <c r="H36" i="2"/>
  <c r="W35" i="2"/>
  <c r="S35" i="2"/>
  <c r="O35" i="2"/>
  <c r="H35" i="2"/>
  <c r="W34" i="2"/>
  <c r="S34" i="2"/>
  <c r="O34" i="2"/>
  <c r="H34" i="2"/>
  <c r="W33" i="2"/>
  <c r="S33" i="2"/>
  <c r="O33" i="2"/>
  <c r="H33" i="2"/>
  <c r="W32" i="2"/>
  <c r="S32" i="2"/>
  <c r="O32" i="2"/>
  <c r="H32" i="2"/>
  <c r="W31" i="2"/>
  <c r="S31" i="2"/>
  <c r="O31" i="2"/>
  <c r="H31" i="2"/>
  <c r="W30" i="2"/>
  <c r="S30" i="2"/>
  <c r="O30" i="2"/>
  <c r="H30" i="2"/>
  <c r="W29" i="2"/>
  <c r="S29" i="2"/>
  <c r="O29" i="2"/>
  <c r="H29" i="2"/>
  <c r="W28" i="2"/>
  <c r="S28" i="2"/>
  <c r="O28" i="2"/>
  <c r="H28" i="2"/>
  <c r="W27" i="2"/>
  <c r="S27" i="2"/>
  <c r="O27" i="2"/>
  <c r="H27" i="2"/>
  <c r="H26" i="2"/>
  <c r="O26" i="2"/>
  <c r="S26" i="2"/>
  <c r="W26" i="2"/>
  <c r="N2" i="2"/>
  <c r="R2" i="2"/>
  <c r="V2" i="2"/>
  <c r="H46" i="2"/>
  <c r="D4" i="1"/>
  <c r="D5" i="1"/>
  <c r="M4" i="2" l="1"/>
  <c r="N4" i="2"/>
  <c r="Q4" i="2"/>
  <c r="R4" i="2"/>
  <c r="U4" i="2"/>
  <c r="V4" i="2"/>
  <c r="M5" i="2"/>
  <c r="N5" i="2"/>
  <c r="Q5" i="2"/>
  <c r="R5" i="2"/>
  <c r="U5" i="2"/>
  <c r="V5" i="2"/>
  <c r="F11" i="2"/>
  <c r="F10" i="2"/>
  <c r="J48" i="2"/>
  <c r="M48" i="2" l="1"/>
  <c r="U48" i="2"/>
  <c r="R7" i="2"/>
  <c r="R8" i="2" s="1"/>
  <c r="Q7" i="2"/>
  <c r="Q8" i="2" s="1"/>
  <c r="Q48" i="2" l="1"/>
  <c r="U52" i="2"/>
  <c r="K48" i="2"/>
  <c r="M52" i="2"/>
  <c r="K26" i="2" l="1"/>
  <c r="K45" i="2"/>
  <c r="K44" i="2"/>
  <c r="K43" i="2"/>
  <c r="K42" i="2"/>
  <c r="K41" i="2"/>
  <c r="K40" i="2"/>
  <c r="K39" i="2"/>
  <c r="K38" i="2"/>
  <c r="K37" i="2"/>
  <c r="K36" i="2"/>
  <c r="K35" i="2"/>
  <c r="K34" i="2"/>
  <c r="K33" i="2"/>
  <c r="K32" i="2"/>
  <c r="K31" i="2"/>
  <c r="K30" i="2"/>
  <c r="K29" i="2"/>
  <c r="K28" i="2"/>
  <c r="K27" i="2"/>
  <c r="K52" i="2"/>
  <c r="K50" i="2"/>
  <c r="Q52" i="2"/>
</calcChain>
</file>

<file path=xl/sharedStrings.xml><?xml version="1.0" encoding="utf-8"?>
<sst xmlns="http://schemas.openxmlformats.org/spreadsheetml/2006/main" count="880" uniqueCount="514">
  <si>
    <t>Auto+Hide</t>
  </si>
  <si>
    <t xml:space="preserve">Report Readme </t>
  </si>
  <si>
    <t>About the report</t>
  </si>
  <si>
    <t>Modifying your report</t>
  </si>
  <si>
    <t>This report can be modified by entering into Jet design mode. 
You may add Excel formulas in blank cells in viewer mode. 
Please see the manual for details or contact your local sales representative.</t>
  </si>
  <si>
    <t>Version of Jet</t>
  </si>
  <si>
    <t>Click here to go to support</t>
  </si>
  <si>
    <t>Support</t>
  </si>
  <si>
    <t>Services</t>
  </si>
  <si>
    <t>Training</t>
  </si>
  <si>
    <t>Sales</t>
  </si>
  <si>
    <t>To contact a sales representative send an email to sales@jetreports.com.</t>
  </si>
  <si>
    <t>Copyrights</t>
  </si>
  <si>
    <t>SALES Top Customer Sales Analysis with Graph</t>
  </si>
  <si>
    <t>Lookup</t>
  </si>
  <si>
    <t>*</t>
  </si>
  <si>
    <t>Value</t>
  </si>
  <si>
    <t>Title</t>
  </si>
  <si>
    <t>Option</t>
  </si>
  <si>
    <t>Customer Posting Group</t>
  </si>
  <si>
    <t>Salesperson Code</t>
  </si>
  <si>
    <t>Fit</t>
  </si>
  <si>
    <t>Hide</t>
  </si>
  <si>
    <t>Name</t>
  </si>
  <si>
    <t>Top # Customers</t>
  </si>
  <si>
    <t>Report Date</t>
  </si>
  <si>
    <t>Auto</t>
  </si>
  <si>
    <t>Anchor</t>
  </si>
  <si>
    <t>0</t>
  </si>
  <si>
    <t>For additional reports or customizations for your reports please contact Jet services at services@jetreports.com.</t>
  </si>
  <si>
    <t>Sales Amount</t>
  </si>
  <si>
    <t>Customer No.</t>
  </si>
  <si>
    <t>Top Customers</t>
  </si>
  <si>
    <t>Show LY Sales</t>
  </si>
  <si>
    <t>Hide+?</t>
  </si>
  <si>
    <t>=DATE(YEAR($C$4),MONTH($C$4),1)</t>
  </si>
  <si>
    <t>=DATE(YEAR($C$4)-1,MONTH($C$4),1)</t>
  </si>
  <si>
    <t>=DATE(YEAR($C$4),1,1)</t>
  </si>
  <si>
    <t>=DATE(YEAR($C$4)-1,1,1)</t>
  </si>
  <si>
    <t>=DATE(YEAR($C$4),MONTH($C$4)+1,1-1)</t>
  </si>
  <si>
    <t>=DATE(YEAR($C$4)-1,MONTH($C$4)+1,1-1)</t>
  </si>
  <si>
    <t>Name for chart</t>
  </si>
  <si>
    <t>=MONTH(Q4)</t>
  </si>
  <si>
    <t>=IF(Q7&gt;8,9,IF(Q7&gt;5,6,IF(Q7&gt;2,3,1)))</t>
  </si>
  <si>
    <t>fit</t>
  </si>
  <si>
    <t>="20"</t>
  </si>
  <si>
    <t>20</t>
  </si>
  <si>
    <t>=NL("Lookup","18 Customer",{"1 No.","2 Name"})</t>
  </si>
  <si>
    <t>=NL("Lookup","18 Customer","21 Customer Posting Group")</t>
  </si>
  <si>
    <t>=NL("Lookup","13 Salesperson/Purchaser",{"1 Code","2 Name"})</t>
  </si>
  <si>
    <t>=NL("Lookup",{"Yes","No"},"Show LY Sales?")</t>
  </si>
  <si>
    <t>=MONTH(R4)</t>
  </si>
  <si>
    <t>=IF(R7&gt;8,9,IF(R7&gt;5,6,IF(R7&gt;2,3,1)))</t>
  </si>
  <si>
    <t>=NF($E26,"1 No.")</t>
  </si>
  <si>
    <t>=NF($E26,"2 Name")</t>
  </si>
  <si>
    <t>=LEFT(G26,11)</t>
  </si>
  <si>
    <t>=NF($E26,"29 Salesperson Code")</t>
  </si>
  <si>
    <t>=NL(,"13 Salesperson/Purchaser","2 Name","1 Code","@@"&amp;$I26)</t>
  </si>
  <si>
    <t>=IF(ISERROR(U26/$U$33),0,U26/$U$33)</t>
  </si>
  <si>
    <t>=NF($E26,"62 Sales (LCY)","55 Date Filter",M$6)</t>
  </si>
  <si>
    <t>=NF($E26,"62 Sales (LCY)","55 Date Filter",N$6)</t>
  </si>
  <si>
    <t>=IF(ISERROR((M26-N26)/N26),0,(M26-N26)/N26)</t>
  </si>
  <si>
    <t>=NF($E26,"62 Sales (LCY)","55 Date Filter",Q$6)</t>
  </si>
  <si>
    <t>=NF($E26,"62 Sales (LCY)","55 Date Filter",R$6)</t>
  </si>
  <si>
    <t>=IF(ISERROR((Q26-R26)/R26),0,(Q26-R26)/R26)</t>
  </si>
  <si>
    <t>=NF($E26,"62 Sales (LCY)","55 Date Filter",U$6)</t>
  </si>
  <si>
    <t>=NF($E26,"62 Sales (LCY)","55 Date Filter",V$6)</t>
  </si>
  <si>
    <t>=IF(ISERROR((U26-V26)/V26),0,(U26-V26)/V26)</t>
  </si>
  <si>
    <t>=LEFT(G27,11)</t>
  </si>
  <si>
    <t>=IF(ISERROR(U29/$U$33),0,U29/$U$33)</t>
  </si>
  <si>
    <t>=SUBTOTAL(9,M26:M28)</t>
  </si>
  <si>
    <t>=SUBTOTAL(9,Q26:Q28)</t>
  </si>
  <si>
    <t>=SUBTOTAL(9,U26:U28)</t>
  </si>
  <si>
    <t>=IF(ISERROR(U31/$U$33),0,U31/$U$33)</t>
  </si>
  <si>
    <t>=NL("Sum","18 Customer","62 Sales (LCY)","55 Date Filter",M$6,"1 No.",$G$19,"21 Customer Posting Group",$G$20,"29 Salesperson Code",$G$21)-M29</t>
  </si>
  <si>
    <t>=NL("Sum","18 Customer","62 Sales (LCY)","55 Date Filter",Q$6,"1 No.",$G$19,"21 Customer Posting Group",$G$20,"29 Salesperson Code",$G$21)-Q29</t>
  </si>
  <si>
    <t>=NL("Sum","18 Customer","62 Sales (LCY)","55 Date Filter",U$6,"1 No.",$G$19,"21 Customer Posting Group",$G$20,"29 Salesperson Code",$G$21)-U29</t>
  </si>
  <si>
    <t>=IF(ISERROR(U33/$U$33),0,U33/$U$33)</t>
  </si>
  <si>
    <t>=SUM(M29:M32)</t>
  </si>
  <si>
    <t>=SUM(Q29:Q32)</t>
  </si>
  <si>
    <t>=SUM(U29:U32)</t>
  </si>
  <si>
    <t>=NF($E27,"1 No.")</t>
  </si>
  <si>
    <t>=NF($E27,"2 Name")</t>
  </si>
  <si>
    <t>=NF($E27,"29 Salesperson Code")</t>
  </si>
  <si>
    <t>=NL(,"13 Salesperson/Purchaser","2 Name","1 Code","@@"&amp;$I27)</t>
  </si>
  <si>
    <t>=NF($E27,"62 Sales (LCY)","55 Date Filter",M$6)</t>
  </si>
  <si>
    <t>=NF($E27,"62 Sales (LCY)","55 Date Filter",N$6)</t>
  </si>
  <si>
    <t>=IF(ISERROR((M27-N27)/N27),0,(M27-N27)/N27)</t>
  </si>
  <si>
    <t>=NF($E27,"62 Sales (LCY)","55 Date Filter",Q$6)</t>
  </si>
  <si>
    <t>=NF($E27,"62 Sales (LCY)","55 Date Filter",R$6)</t>
  </si>
  <si>
    <t>=IF(ISERROR((Q27-R27)/R27),0,(Q27-R27)/R27)</t>
  </si>
  <si>
    <t>=NF($E27,"62 Sales (LCY)","55 Date Filter",U$6)</t>
  </si>
  <si>
    <t>=NF($E27,"62 Sales (LCY)","55 Date Filter",V$6)</t>
  </si>
  <si>
    <t>=IF(ISERROR((U27-V27)/V27),0,(U27-V27)/V27)</t>
  </si>
  <si>
    <t>=NF($E28,"1 No.")</t>
  </si>
  <si>
    <t>=NF($E28,"2 Name")</t>
  </si>
  <si>
    <t>=LEFT(G28,11)</t>
  </si>
  <si>
    <t>=NF($E28,"29 Salesperson Code")</t>
  </si>
  <si>
    <t>=NL(,"13 Salesperson/Purchaser","2 Name","1 Code","@@"&amp;$I28)</t>
  </si>
  <si>
    <t>=NF($E28,"62 Sales (LCY)","55 Date Filter",M$6)</t>
  </si>
  <si>
    <t>=NF($E28,"62 Sales (LCY)","55 Date Filter",N$6)</t>
  </si>
  <si>
    <t>=IF(ISERROR((M28-N28)/N28),0,(M28-N28)/N28)</t>
  </si>
  <si>
    <t>=NF($E28,"62 Sales (LCY)","55 Date Filter",Q$6)</t>
  </si>
  <si>
    <t>=NF($E28,"62 Sales (LCY)","55 Date Filter",R$6)</t>
  </si>
  <si>
    <t>=IF(ISERROR((Q28-R28)/R28),0,(Q28-R28)/R28)</t>
  </si>
  <si>
    <t>=NF($E28,"62 Sales (LCY)","55 Date Filter",U$6)</t>
  </si>
  <si>
    <t>=NF($E28,"62 Sales (LCY)","55 Date Filter",V$6)</t>
  </si>
  <si>
    <t>=IF(ISERROR((U28-V28)/V28),0,(U28-V28)/V28)</t>
  </si>
  <si>
    <t>=NF($E29,"1 No.")</t>
  </si>
  <si>
    <t>=NF($E29,"2 Name")</t>
  </si>
  <si>
    <t>=LEFT(G29,11)</t>
  </si>
  <si>
    <t>=NF($E29,"29 Salesperson Code")</t>
  </si>
  <si>
    <t>=NL(,"13 Salesperson/Purchaser","2 Name","1 Code","@@"&amp;$I29)</t>
  </si>
  <si>
    <t>=NF($E29,"62 Sales (LCY)","55 Date Filter",M$6)</t>
  </si>
  <si>
    <t>=NF($E29,"62 Sales (LCY)","55 Date Filter",N$6)</t>
  </si>
  <si>
    <t>=IF(ISERROR((M29-N29)/N29),0,(M29-N29)/N29)</t>
  </si>
  <si>
    <t>=NF($E29,"62 Sales (LCY)","55 Date Filter",Q$6)</t>
  </si>
  <si>
    <t>=NF($E29,"62 Sales (LCY)","55 Date Filter",R$6)</t>
  </si>
  <si>
    <t>=IF(ISERROR((Q29-R29)/R29),0,(Q29-R29)/R29)</t>
  </si>
  <si>
    <t>=NF($E29,"62 Sales (LCY)","55 Date Filter",U$6)</t>
  </si>
  <si>
    <t>=NF($E29,"62 Sales (LCY)","55 Date Filter",V$6)</t>
  </si>
  <si>
    <t>=IF(ISERROR((U29-V29)/V29),0,(U29-V29)/V29)</t>
  </si>
  <si>
    <t>=NF($E30,"1 No.")</t>
  </si>
  <si>
    <t>=NF($E30,"2 Name")</t>
  </si>
  <si>
    <t>=LEFT(G30,11)</t>
  </si>
  <si>
    <t>=NF($E30,"29 Salesperson Code")</t>
  </si>
  <si>
    <t>=NL(,"13 Salesperson/Purchaser","2 Name","1 Code","@@"&amp;$I30)</t>
  </si>
  <si>
    <t>=NF($E30,"62 Sales (LCY)","55 Date Filter",M$6)</t>
  </si>
  <si>
    <t>=NF($E30,"62 Sales (LCY)","55 Date Filter",N$6)</t>
  </si>
  <si>
    <t>=IF(ISERROR((M30-N30)/N30),0,(M30-N30)/N30)</t>
  </si>
  <si>
    <t>=NF($E30,"62 Sales (LCY)","55 Date Filter",Q$6)</t>
  </si>
  <si>
    <t>=NF($E30,"62 Sales (LCY)","55 Date Filter",R$6)</t>
  </si>
  <si>
    <t>=IF(ISERROR((Q30-R30)/R30),0,(Q30-R30)/R30)</t>
  </si>
  <si>
    <t>=NF($E30,"62 Sales (LCY)","55 Date Filter",U$6)</t>
  </si>
  <si>
    <t>=NF($E30,"62 Sales (LCY)","55 Date Filter",V$6)</t>
  </si>
  <si>
    <t>=IF(ISERROR((U30-V30)/V30),0,(U30-V30)/V30)</t>
  </si>
  <si>
    <t>=NF($E31,"1 No.")</t>
  </si>
  <si>
    <t>=NF($E31,"2 Name")</t>
  </si>
  <si>
    <t>=LEFT(G31,11)</t>
  </si>
  <si>
    <t>=NF($E31,"29 Salesperson Code")</t>
  </si>
  <si>
    <t>=NL(,"13 Salesperson/Purchaser","2 Name","1 Code","@@"&amp;$I31)</t>
  </si>
  <si>
    <t>=NF($E31,"62 Sales (LCY)","55 Date Filter",M$6)</t>
  </si>
  <si>
    <t>=NF($E31,"62 Sales (LCY)","55 Date Filter",N$6)</t>
  </si>
  <si>
    <t>=IF(ISERROR((M31-N31)/N31),0,(M31-N31)/N31)</t>
  </si>
  <si>
    <t>=NF($E31,"62 Sales (LCY)","55 Date Filter",Q$6)</t>
  </si>
  <si>
    <t>=NF($E31,"62 Sales (LCY)","55 Date Filter",R$6)</t>
  </si>
  <si>
    <t>=IF(ISERROR((Q31-R31)/R31),0,(Q31-R31)/R31)</t>
  </si>
  <si>
    <t>=NF($E31,"62 Sales (LCY)","55 Date Filter",U$6)</t>
  </si>
  <si>
    <t>=NF($E31,"62 Sales (LCY)","55 Date Filter",V$6)</t>
  </si>
  <si>
    <t>=IF(ISERROR((U31-V31)/V31),0,(U31-V31)/V31)</t>
  </si>
  <si>
    <t>=NF($E32,"1 No.")</t>
  </si>
  <si>
    <t>=NF($E32,"2 Name")</t>
  </si>
  <si>
    <t>=LEFT(G32,11)</t>
  </si>
  <si>
    <t>=NF($E32,"29 Salesperson Code")</t>
  </si>
  <si>
    <t>=NL(,"13 Salesperson/Purchaser","2 Name","1 Code","@@"&amp;$I32)</t>
  </si>
  <si>
    <t>=NF($E32,"62 Sales (LCY)","55 Date Filter",M$6)</t>
  </si>
  <si>
    <t>=NF($E32,"62 Sales (LCY)","55 Date Filter",N$6)</t>
  </si>
  <si>
    <t>=IF(ISERROR((M32-N32)/N32),0,(M32-N32)/N32)</t>
  </si>
  <si>
    <t>=NF($E32,"62 Sales (LCY)","55 Date Filter",Q$6)</t>
  </si>
  <si>
    <t>=NF($E32,"62 Sales (LCY)","55 Date Filter",R$6)</t>
  </si>
  <si>
    <t>=IF(ISERROR((Q32-R32)/R32),0,(Q32-R32)/R32)</t>
  </si>
  <si>
    <t>=NF($E32,"62 Sales (LCY)","55 Date Filter",U$6)</t>
  </si>
  <si>
    <t>=NF($E32,"62 Sales (LCY)","55 Date Filter",V$6)</t>
  </si>
  <si>
    <t>=IF(ISERROR((U32-V32)/V32),0,(U32-V32)/V32)</t>
  </si>
  <si>
    <t>=NF($E33,"1 No.")</t>
  </si>
  <si>
    <t>=NF($E33,"2 Name")</t>
  </si>
  <si>
    <t>=LEFT(G33,11)</t>
  </si>
  <si>
    <t>=NF($E33,"29 Salesperson Code")</t>
  </si>
  <si>
    <t>=NL(,"13 Salesperson/Purchaser","2 Name","1 Code","@@"&amp;$I33)</t>
  </si>
  <si>
    <t>=NF($E33,"62 Sales (LCY)","55 Date Filter",M$6)</t>
  </si>
  <si>
    <t>=NF($E33,"62 Sales (LCY)","55 Date Filter",N$6)</t>
  </si>
  <si>
    <t>=IF(ISERROR((M33-N33)/N33),0,(M33-N33)/N33)</t>
  </si>
  <si>
    <t>=NF($E33,"62 Sales (LCY)","55 Date Filter",Q$6)</t>
  </si>
  <si>
    <t>=NF($E33,"62 Sales (LCY)","55 Date Filter",R$6)</t>
  </si>
  <si>
    <t>=IF(ISERROR((Q33-R33)/R33),0,(Q33-R33)/R33)</t>
  </si>
  <si>
    <t>=NF($E33,"62 Sales (LCY)","55 Date Filter",U$6)</t>
  </si>
  <si>
    <t>=NF($E33,"62 Sales (LCY)","55 Date Filter",V$6)</t>
  </si>
  <si>
    <t>=IF(ISERROR((U33-V33)/V33),0,(U33-V33)/V33)</t>
  </si>
  <si>
    <t>=NF($E34,"1 No.")</t>
  </si>
  <si>
    <t>=NF($E34,"2 Name")</t>
  </si>
  <si>
    <t>=LEFT(G34,11)</t>
  </si>
  <si>
    <t>=NF($E34,"29 Salesperson Code")</t>
  </si>
  <si>
    <t>=NL(,"13 Salesperson/Purchaser","2 Name","1 Code","@@"&amp;$I34)</t>
  </si>
  <si>
    <t>=NF($E34,"62 Sales (LCY)","55 Date Filter",M$6)</t>
  </si>
  <si>
    <t>=NF($E34,"62 Sales (LCY)","55 Date Filter",N$6)</t>
  </si>
  <si>
    <t>=IF(ISERROR((M34-N34)/N34),0,(M34-N34)/N34)</t>
  </si>
  <si>
    <t>=NF($E34,"62 Sales (LCY)","55 Date Filter",Q$6)</t>
  </si>
  <si>
    <t>=NF($E34,"62 Sales (LCY)","55 Date Filter",R$6)</t>
  </si>
  <si>
    <t>=IF(ISERROR((Q34-R34)/R34),0,(Q34-R34)/R34)</t>
  </si>
  <si>
    <t>=NF($E34,"62 Sales (LCY)","55 Date Filter",U$6)</t>
  </si>
  <si>
    <t>=NF($E34,"62 Sales (LCY)","55 Date Filter",V$6)</t>
  </si>
  <si>
    <t>=IF(ISERROR((U34-V34)/V34),0,(U34-V34)/V34)</t>
  </si>
  <si>
    <t>=NF($E35,"1 No.")</t>
  </si>
  <si>
    <t>=NF($E35,"2 Name")</t>
  </si>
  <si>
    <t>=LEFT(G35,11)</t>
  </si>
  <si>
    <t>=NF($E35,"29 Salesperson Code")</t>
  </si>
  <si>
    <t>=NL(,"13 Salesperson/Purchaser","2 Name","1 Code","@@"&amp;$I35)</t>
  </si>
  <si>
    <t>=NF($E35,"62 Sales (LCY)","55 Date Filter",M$6)</t>
  </si>
  <si>
    <t>=NF($E35,"62 Sales (LCY)","55 Date Filter",N$6)</t>
  </si>
  <si>
    <t>=IF(ISERROR((M35-N35)/N35),0,(M35-N35)/N35)</t>
  </si>
  <si>
    <t>=NF($E35,"62 Sales (LCY)","55 Date Filter",Q$6)</t>
  </si>
  <si>
    <t>=NF($E35,"62 Sales (LCY)","55 Date Filter",R$6)</t>
  </si>
  <si>
    <t>=IF(ISERROR((Q35-R35)/R35),0,(Q35-R35)/R35)</t>
  </si>
  <si>
    <t>=NF($E35,"62 Sales (LCY)","55 Date Filter",U$6)</t>
  </si>
  <si>
    <t>=NF($E35,"62 Sales (LCY)","55 Date Filter",V$6)</t>
  </si>
  <si>
    <t>=IF(ISERROR((U35-V35)/V35),0,(U35-V35)/V35)</t>
  </si>
  <si>
    <t>=LEFT(G36,11)</t>
  </si>
  <si>
    <t>=NF($E36,"1 No.")</t>
  </si>
  <si>
    <t>=NF($E36,"2 Name")</t>
  </si>
  <si>
    <t>=NF($E36,"29 Salesperson Code")</t>
  </si>
  <si>
    <t>=NL(,"13 Salesperson/Purchaser","2 Name","1 Code","@@"&amp;$I36)</t>
  </si>
  <si>
    <t>=NF($E36,"62 Sales (LCY)","55 Date Filter",M$6)</t>
  </si>
  <si>
    <t>=NF($E36,"62 Sales (LCY)","55 Date Filter",N$6)</t>
  </si>
  <si>
    <t>=IF(ISERROR((M36-N36)/N36),0,(M36-N36)/N36)</t>
  </si>
  <si>
    <t>=NF($E36,"62 Sales (LCY)","55 Date Filter",Q$6)</t>
  </si>
  <si>
    <t>=NF($E36,"62 Sales (LCY)","55 Date Filter",R$6)</t>
  </si>
  <si>
    <t>=IF(ISERROR((Q36-R36)/R36),0,(Q36-R36)/R36)</t>
  </si>
  <si>
    <t>=NF($E36,"62 Sales (LCY)","55 Date Filter",U$6)</t>
  </si>
  <si>
    <t>=NF($E36,"62 Sales (LCY)","55 Date Filter",V$6)</t>
  </si>
  <si>
    <t>=IF(ISERROR((U36-V36)/V36),0,(U36-V36)/V36)</t>
  </si>
  <si>
    <t>=NF($E37,"1 No.")</t>
  </si>
  <si>
    <t>=NF($E37,"2 Name")</t>
  </si>
  <si>
    <t>=LEFT(G37,11)</t>
  </si>
  <si>
    <t>=NF($E37,"29 Salesperson Code")</t>
  </si>
  <si>
    <t>=NL(,"13 Salesperson/Purchaser","2 Name","1 Code","@@"&amp;$I37)</t>
  </si>
  <si>
    <t>=NF($E37,"62 Sales (LCY)","55 Date Filter",M$6)</t>
  </si>
  <si>
    <t>=NF($E37,"62 Sales (LCY)","55 Date Filter",N$6)</t>
  </si>
  <si>
    <t>=IF(ISERROR((M37-N37)/N37),0,(M37-N37)/N37)</t>
  </si>
  <si>
    <t>=NF($E37,"62 Sales (LCY)","55 Date Filter",Q$6)</t>
  </si>
  <si>
    <t>=NF($E37,"62 Sales (LCY)","55 Date Filter",R$6)</t>
  </si>
  <si>
    <t>=IF(ISERROR((Q37-R37)/R37),0,(Q37-R37)/R37)</t>
  </si>
  <si>
    <t>=NF($E37,"62 Sales (LCY)","55 Date Filter",U$6)</t>
  </si>
  <si>
    <t>=NF($E37,"62 Sales (LCY)","55 Date Filter",V$6)</t>
  </si>
  <si>
    <t>=IF(ISERROR((U37-V37)/V37),0,(U37-V37)/V37)</t>
  </si>
  <si>
    <t>=NF($E38,"1 No.")</t>
  </si>
  <si>
    <t>=NF($E38,"2 Name")</t>
  </si>
  <si>
    <t>=LEFT(G38,11)</t>
  </si>
  <si>
    <t>=NF($E38,"29 Salesperson Code")</t>
  </si>
  <si>
    <t>=NL(,"13 Salesperson/Purchaser","2 Name","1 Code","@@"&amp;$I38)</t>
  </si>
  <si>
    <t>=NF($E38,"62 Sales (LCY)","55 Date Filter",M$6)</t>
  </si>
  <si>
    <t>=NF($E38,"62 Sales (LCY)","55 Date Filter",N$6)</t>
  </si>
  <si>
    <t>=IF(ISERROR((M38-N38)/N38),0,(M38-N38)/N38)</t>
  </si>
  <si>
    <t>=NF($E38,"62 Sales (LCY)","55 Date Filter",Q$6)</t>
  </si>
  <si>
    <t>=NF($E38,"62 Sales (LCY)","55 Date Filter",R$6)</t>
  </si>
  <si>
    <t>=IF(ISERROR((Q38-R38)/R38),0,(Q38-R38)/R38)</t>
  </si>
  <si>
    <t>=NF($E38,"62 Sales (LCY)","55 Date Filter",U$6)</t>
  </si>
  <si>
    <t>=NF($E38,"62 Sales (LCY)","55 Date Filter",V$6)</t>
  </si>
  <si>
    <t>=IF(ISERROR((U38-V38)/V38),0,(U38-V38)/V38)</t>
  </si>
  <si>
    <t>=NF($E39,"1 No.")</t>
  </si>
  <si>
    <t>=NF($E39,"2 Name")</t>
  </si>
  <si>
    <t>=LEFT(G39,11)</t>
  </si>
  <si>
    <t>=NF($E39,"29 Salesperson Code")</t>
  </si>
  <si>
    <t>=NL(,"13 Salesperson/Purchaser","2 Name","1 Code","@@"&amp;$I39)</t>
  </si>
  <si>
    <t>=NF($E39,"62 Sales (LCY)","55 Date Filter",M$6)</t>
  </si>
  <si>
    <t>=NF($E39,"62 Sales (LCY)","55 Date Filter",N$6)</t>
  </si>
  <si>
    <t>=IF(ISERROR((M39-N39)/N39),0,(M39-N39)/N39)</t>
  </si>
  <si>
    <t>=NF($E39,"62 Sales (LCY)","55 Date Filter",Q$6)</t>
  </si>
  <si>
    <t>=NF($E39,"62 Sales (LCY)","55 Date Filter",R$6)</t>
  </si>
  <si>
    <t>=IF(ISERROR((Q39-R39)/R39),0,(Q39-R39)/R39)</t>
  </si>
  <si>
    <t>=NF($E39,"62 Sales (LCY)","55 Date Filter",U$6)</t>
  </si>
  <si>
    <t>=NF($E39,"62 Sales (LCY)","55 Date Filter",V$6)</t>
  </si>
  <si>
    <t>=IF(ISERROR((U39-V39)/V39),0,(U39-V39)/V39)</t>
  </si>
  <si>
    <t>=NF($E40,"1 No.")</t>
  </si>
  <si>
    <t>=NF($E40,"2 Name")</t>
  </si>
  <si>
    <t>=LEFT(G40,11)</t>
  </si>
  <si>
    <t>=NF($E40,"29 Salesperson Code")</t>
  </si>
  <si>
    <t>=NL(,"13 Salesperson/Purchaser","2 Name","1 Code","@@"&amp;$I40)</t>
  </si>
  <si>
    <t>=NF($E40,"62 Sales (LCY)","55 Date Filter",M$6)</t>
  </si>
  <si>
    <t>=NF($E40,"62 Sales (LCY)","55 Date Filter",N$6)</t>
  </si>
  <si>
    <t>=IF(ISERROR((M40-N40)/N40),0,(M40-N40)/N40)</t>
  </si>
  <si>
    <t>=NF($E40,"62 Sales (LCY)","55 Date Filter",Q$6)</t>
  </si>
  <si>
    <t>=NF($E40,"62 Sales (LCY)","55 Date Filter",R$6)</t>
  </si>
  <si>
    <t>=IF(ISERROR((Q40-R40)/R40),0,(Q40-R40)/R40)</t>
  </si>
  <si>
    <t>=NF($E40,"62 Sales (LCY)","55 Date Filter",U$6)</t>
  </si>
  <si>
    <t>=NF($E40,"62 Sales (LCY)","55 Date Filter",V$6)</t>
  </si>
  <si>
    <t>=IF(ISERROR((U40-V40)/V40),0,(U40-V40)/V40)</t>
  </si>
  <si>
    <t>=NF($E41,"1 No.")</t>
  </si>
  <si>
    <t>=NF($E41,"2 Name")</t>
  </si>
  <si>
    <t>=LEFT(G41,11)</t>
  </si>
  <si>
    <t>=NF($E41,"29 Salesperson Code")</t>
  </si>
  <si>
    <t>=NL(,"13 Salesperson/Purchaser","2 Name","1 Code","@@"&amp;$I41)</t>
  </si>
  <si>
    <t>=NF($E41,"62 Sales (LCY)","55 Date Filter",M$6)</t>
  </si>
  <si>
    <t>=NF($E41,"62 Sales (LCY)","55 Date Filter",N$6)</t>
  </si>
  <si>
    <t>=IF(ISERROR((M41-N41)/N41),0,(M41-N41)/N41)</t>
  </si>
  <si>
    <t>=NF($E41,"62 Sales (LCY)","55 Date Filter",Q$6)</t>
  </si>
  <si>
    <t>=NF($E41,"62 Sales (LCY)","55 Date Filter",R$6)</t>
  </si>
  <si>
    <t>=IF(ISERROR((Q41-R41)/R41),0,(Q41-R41)/R41)</t>
  </si>
  <si>
    <t>=NF($E41,"62 Sales (LCY)","55 Date Filter",U$6)</t>
  </si>
  <si>
    <t>=NF($E41,"62 Sales (LCY)","55 Date Filter",V$6)</t>
  </si>
  <si>
    <t>=IF(ISERROR((U41-V41)/V41),0,(U41-V41)/V41)</t>
  </si>
  <si>
    <t>=NF($E42,"1 No.")</t>
  </si>
  <si>
    <t>=NF($E42,"2 Name")</t>
  </si>
  <si>
    <t>=LEFT(G42,11)</t>
  </si>
  <si>
    <t>=NF($E42,"29 Salesperson Code")</t>
  </si>
  <si>
    <t>=NL(,"13 Salesperson/Purchaser","2 Name","1 Code","@@"&amp;$I42)</t>
  </si>
  <si>
    <t>=NF($E42,"62 Sales (LCY)","55 Date Filter",M$6)</t>
  </si>
  <si>
    <t>=NF($E42,"62 Sales (LCY)","55 Date Filter",N$6)</t>
  </si>
  <si>
    <t>=IF(ISERROR((M42-N42)/N42),0,(M42-N42)/N42)</t>
  </si>
  <si>
    <t>=NF($E42,"62 Sales (LCY)","55 Date Filter",Q$6)</t>
  </si>
  <si>
    <t>=NF($E42,"62 Sales (LCY)","55 Date Filter",R$6)</t>
  </si>
  <si>
    <t>=IF(ISERROR((Q42-R42)/R42),0,(Q42-R42)/R42)</t>
  </si>
  <si>
    <t>=NF($E42,"62 Sales (LCY)","55 Date Filter",U$6)</t>
  </si>
  <si>
    <t>=NF($E42,"62 Sales (LCY)","55 Date Filter",V$6)</t>
  </si>
  <si>
    <t>=IF(ISERROR((U42-V42)/V42),0,(U42-V42)/V42)</t>
  </si>
  <si>
    <t>=NF($E43,"1 No.")</t>
  </si>
  <si>
    <t>=NF($E43,"2 Name")</t>
  </si>
  <si>
    <t>=LEFT(G43,11)</t>
  </si>
  <si>
    <t>=NF($E43,"29 Salesperson Code")</t>
  </si>
  <si>
    <t>=NL(,"13 Salesperson/Purchaser","2 Name","1 Code","@@"&amp;$I43)</t>
  </si>
  <si>
    <t>=NF($E43,"62 Sales (LCY)","55 Date Filter",M$6)</t>
  </si>
  <si>
    <t>=NF($E43,"62 Sales (LCY)","55 Date Filter",N$6)</t>
  </si>
  <si>
    <t>=IF(ISERROR((M43-N43)/N43),0,(M43-N43)/N43)</t>
  </si>
  <si>
    <t>=NF($E43,"62 Sales (LCY)","55 Date Filter",Q$6)</t>
  </si>
  <si>
    <t>=NF($E43,"62 Sales (LCY)","55 Date Filter",R$6)</t>
  </si>
  <si>
    <t>=IF(ISERROR((Q43-R43)/R43),0,(Q43-R43)/R43)</t>
  </si>
  <si>
    <t>=NF($E43,"62 Sales (LCY)","55 Date Filter",U$6)</t>
  </si>
  <si>
    <t>=NF($E43,"62 Sales (LCY)","55 Date Filter",V$6)</t>
  </si>
  <si>
    <t>=IF(ISERROR((U43-V43)/V43),0,(U43-V43)/V43)</t>
  </si>
  <si>
    <t>=NF($E44,"1 No.")</t>
  </si>
  <si>
    <t>=NF($E44,"2 Name")</t>
  </si>
  <si>
    <t>=LEFT(G44,11)</t>
  </si>
  <si>
    <t>=NF($E44,"29 Salesperson Code")</t>
  </si>
  <si>
    <t>=NL(,"13 Salesperson/Purchaser","2 Name","1 Code","@@"&amp;$I44)</t>
  </si>
  <si>
    <t>=NF($E44,"62 Sales (LCY)","55 Date Filter",M$6)</t>
  </si>
  <si>
    <t>=NF($E44,"62 Sales (LCY)","55 Date Filter",N$6)</t>
  </si>
  <si>
    <t>=IF(ISERROR((M44-N44)/N44),0,(M44-N44)/N44)</t>
  </si>
  <si>
    <t>=NF($E44,"62 Sales (LCY)","55 Date Filter",Q$6)</t>
  </si>
  <si>
    <t>=NF($E44,"62 Sales (LCY)","55 Date Filter",R$6)</t>
  </si>
  <si>
    <t>=IF(ISERROR((Q44-R44)/R44),0,(Q44-R44)/R44)</t>
  </si>
  <si>
    <t>=NF($E44,"62 Sales (LCY)","55 Date Filter",U$6)</t>
  </si>
  <si>
    <t>=NF($E44,"62 Sales (LCY)","55 Date Filter",V$6)</t>
  </si>
  <si>
    <t>=IF(ISERROR((U44-V44)/V44),0,(U44-V44)/V44)</t>
  </si>
  <si>
    <t>=NF($E45,"1 No.")</t>
  </si>
  <si>
    <t>=NF($E45,"2 Name")</t>
  </si>
  <si>
    <t>=LEFT(G45,11)</t>
  </si>
  <si>
    <t>=NF($E45,"29 Salesperson Code")</t>
  </si>
  <si>
    <t>=NL(,"13 Salesperson/Purchaser","2 Name","1 Code","@@"&amp;$I45)</t>
  </si>
  <si>
    <t>=NF($E45,"62 Sales (LCY)","55 Date Filter",M$6)</t>
  </si>
  <si>
    <t>=NF($E45,"62 Sales (LCY)","55 Date Filter",N$6)</t>
  </si>
  <si>
    <t>=IF(ISERROR((M45-N45)/N45),0,(M45-N45)/N45)</t>
  </si>
  <si>
    <t>=NF($E45,"62 Sales (LCY)","55 Date Filter",Q$6)</t>
  </si>
  <si>
    <t>=NF($E45,"62 Sales (LCY)","55 Date Filter",R$6)</t>
  </si>
  <si>
    <t>=IF(ISERROR((Q45-R45)/R45),0,(Q45-R45)/R45)</t>
  </si>
  <si>
    <t>=NF($E45,"62 Sales (LCY)","55 Date Filter",U$6)</t>
  </si>
  <si>
    <t>=NF($E45,"62 Sales (LCY)","55 Date Filter",V$6)</t>
  </si>
  <si>
    <t>=IF(ISERROR((U45-V45)/V45),0,(U45-V45)/V45)</t>
  </si>
  <si>
    <t>=LEFT(G46,11)</t>
  </si>
  <si>
    <t>=IF(ISERROR(U26/$U$52),0,U26/$U$52)</t>
  </si>
  <si>
    <t>=IF(ISERROR(U27/$U$52),0,U27/$U$52)</t>
  </si>
  <si>
    <t>=IF(ISERROR(U28/$U$52),0,U28/$U$52)</t>
  </si>
  <si>
    <t>=IF(ISERROR(U29/$U$52),0,U29/$U$52)</t>
  </si>
  <si>
    <t>=IF(ISERROR(U30/$U$52),0,U30/$U$52)</t>
  </si>
  <si>
    <t>=IF(ISERROR(U31/$U$52),0,U31/$U$52)</t>
  </si>
  <si>
    <t>=IF(ISERROR(U32/$U$52),0,U32/$U$52)</t>
  </si>
  <si>
    <t>=IF(ISERROR(U33/$U$52),0,U33/$U$52)</t>
  </si>
  <si>
    <t>=IF(ISERROR(U34/$U$52),0,U34/$U$52)</t>
  </si>
  <si>
    <t>=IF(ISERROR(U35/$U$52),0,U35/$U$52)</t>
  </si>
  <si>
    <t>=IF(ISERROR(U36/$U$52),0,U36/$U$52)</t>
  </si>
  <si>
    <t>=IF(ISERROR(U37/$U$52),0,U37/$U$52)</t>
  </si>
  <si>
    <t>=IF(ISERROR(U38/$U$52),0,U38/$U$52)</t>
  </si>
  <si>
    <t>=IF(ISERROR(U39/$U$52),0,U39/$U$52)</t>
  </si>
  <si>
    <t>=IF(ISERROR(U40/$U$52),0,U40/$U$52)</t>
  </si>
  <si>
    <t>=IF(ISERROR(U41/$U$52),0,U41/$U$52)</t>
  </si>
  <si>
    <t>=IF(ISERROR(U42/$U$52),0,U42/$U$52)</t>
  </si>
  <si>
    <t>=IF(ISERROR(U43/$U$52),0,U43/$U$52)</t>
  </si>
  <si>
    <t>=IF(ISERROR(U44/$U$52),0,U44/$U$52)</t>
  </si>
  <si>
    <t>=IF(ISERROR(U45/$U$52),0,U45/$U$52)</t>
  </si>
  <si>
    <t>=IF(ISERROR(U48/$U$52),0,U48/$U$52)</t>
  </si>
  <si>
    <t>=SUBTOTAL(9,M26:M47)</t>
  </si>
  <si>
    <t>=SUBTOTAL(9,Q26:Q47)</t>
  </si>
  <si>
    <t>=SUBTOTAL(9,U26:U47)</t>
  </si>
  <si>
    <t>=IF(ISERROR(U50/$U$52),0,U50/$U$52)</t>
  </si>
  <si>
    <t>=NL("Sum","18 Customer","62 Sales (LCY)","55 Date Filter",M$6,"1 No.",$G$19,"21 Customer Posting Group",$G$20,"29 Salesperson Code",$G$21)-M48</t>
  </si>
  <si>
    <t>=NL("Sum","18 Customer","62 Sales (LCY)","55 Date Filter",Q$6,"1 No.",$G$19,"21 Customer Posting Group",$G$20,"29 Salesperson Code",$G$21)-Q48</t>
  </si>
  <si>
    <t>=NL("Sum","18 Customer","62 Sales (LCY)","55 Date Filter",U$6,"1 No.",$G$19,"21 Customer Posting Group",$G$20,"29 Salesperson Code",$G$21)-U48</t>
  </si>
  <si>
    <t>=IF(ISERROR(U52/$U$52),0,U52/$U$52)</t>
  </si>
  <si>
    <t>=SUM(M48:M51)</t>
  </si>
  <si>
    <t>=SUM(Q48:Q51)</t>
  </si>
  <si>
    <t>=SUM(U48:U51)</t>
  </si>
  <si>
    <t>=NP("EVAL","=TopCustomers")</t>
  </si>
  <si>
    <t>=NP("EVAL","=ReportDate")</t>
  </si>
  <si>
    <t>=NP("EVAL","=ShowLYSales")</t>
  </si>
  <si>
    <t>=NP("DateFilter",M$4,M$5)</t>
  </si>
  <si>
    <t>=NP("DateFilter",N$4,N$5)</t>
  </si>
  <si>
    <t>=NP("DateFilter",DATE(YEAR(Q$4),$Q$8,1),Q$5)</t>
  </si>
  <si>
    <t>=NP("DateFilter",DATE(YEAR(R$4),$R$8,1),R$5)</t>
  </si>
  <si>
    <t>=NP("DateFilter",U$4,U$5)</t>
  </si>
  <si>
    <t>=NP("DateFilter",V$4,V$5)</t>
  </si>
  <si>
    <t>=NP("EVAL","=SalesAmt")</t>
  </si>
  <si>
    <t>=NP("EVAL","=CustNo")</t>
  </si>
  <si>
    <t>=NP("EVAL","=CustPostGrp")</t>
  </si>
  <si>
    <t>=NP("EVAL","=SalespersonCode")</t>
  </si>
  <si>
    <t xml:space="preserve">This report functions with Jet Express or Jet Essentials.  Reports are updated to the latest released version possible.  If you have an older version of Jet some report features may not work properly.  Please upgrade to the latest version of Jet. </t>
  </si>
  <si>
    <t>Click here for downloads</t>
  </si>
  <si>
    <t>For support please go to our support site at http://www.jetreports.com/customers/support.php</t>
  </si>
  <si>
    <t>Questions About This Report</t>
  </si>
  <si>
    <t>If you have questions about this or any other sample report, please email samplereports@jetreports.com</t>
  </si>
  <si>
    <t>Click here to contact sample reports</t>
  </si>
  <si>
    <t>Click here to email Jet Reports services</t>
  </si>
  <si>
    <t xml:space="preserve">For training see http://www.jetreports.com for details. </t>
  </si>
  <si>
    <t>Click here to go to Jet reports welcome page</t>
  </si>
  <si>
    <t>Click here to email Jet Reports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</si>
  <si>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</si>
  <si>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NAV2009 JetCorp Demo Database.  Reports will display different results depending on your database.</t>
  </si>
  <si>
    <t xml:space="preserve">2014 Jet Reports, Inc. </t>
  </si>
  <si>
    <t>Nr.</t>
  </si>
  <si>
    <t>="31.1.18"</t>
  </si>
  <si>
    <t>=NL("Lookup";"18 Customer";{"1 No."."2 Name"})</t>
  </si>
  <si>
    <t>=NL("Lookup";"18 Customer";"21 Customer Posting Group")</t>
  </si>
  <si>
    <t>=NL("Lookup";"13 Salesperson/Purchaser";{"1 Code"."2 Name"})</t>
  </si>
  <si>
    <t>=NL("Lookup";{"Yes"."No"};"Show LY Sales?")</t>
  </si>
  <si>
    <t>=NP("EVAL";"=TopCustomers")</t>
  </si>
  <si>
    <t>=NP("EVAL";"=ReportDate")</t>
  </si>
  <si>
    <t>=DATUM(JAHR($C$4);MONAT($C$4);1)</t>
  </si>
  <si>
    <t>=DATUM(JAHR($C$4)-1;MONAT($C$4);1)</t>
  </si>
  <si>
    <t>=DATUM(JAHR($C$4);1;1)</t>
  </si>
  <si>
    <t>=DATUM(JAHR($C$4)-1;1;1)</t>
  </si>
  <si>
    <t>=NP("EVAL";"=ShowLYSales")</t>
  </si>
  <si>
    <t>=DATUM(JAHR($C$4);MONAT($C$4)+1;1-1)</t>
  </si>
  <si>
    <t>=DATUM(JAHR($C$4)-1;MONAT($C$4)+1;1-1)</t>
  </si>
  <si>
    <t>=NP("DateFilter";M$4;M$5)</t>
  </si>
  <si>
    <t>=NP("DateFilter";N$4;N$5)</t>
  </si>
  <si>
    <t>=NP("DateFilter";DATUM(JAHR(Q$4);$Q$8;1);Q$5)</t>
  </si>
  <si>
    <t>=NP("DateFilter";DATUM(JAHR(R$4);$R$8;1);R$5)</t>
  </si>
  <si>
    <t>=NP("DateFilter";U$4;U$5)</t>
  </si>
  <si>
    <t>=NP("DateFilter";V$4;V$5)</t>
  </si>
  <si>
    <t>=MONAT(Q4)</t>
  </si>
  <si>
    <t>=MONAT(R4)</t>
  </si>
  <si>
    <t>=WENN(Q7&gt;8;9;WENN(Q7&gt;5;6;WENN(Q7&gt;2;3;1)))</t>
  </si>
  <si>
    <t>=WENN(R7&gt;8;9;WENN(R7&gt;5;6;WENN(R7&gt;2;3;1)))</t>
  </si>
  <si>
    <t>=NP("EVAL";"=SalesAmt")</t>
  </si>
  <si>
    <t>=NP("EVAL";"=CustNo")</t>
  </si>
  <si>
    <t>=NP("EVAL";"=CustPostGrp")</t>
  </si>
  <si>
    <t>=NP("EVAL";"=SalespersonCode")</t>
  </si>
  <si>
    <t>=NF($E26;"1 No.")</t>
  </si>
  <si>
    <t>=NF($E26;"2 Name")</t>
  </si>
  <si>
    <t>=LINKS(G26;11)</t>
  </si>
  <si>
    <t>=NF($E26;"29 Salesperson Code")</t>
  </si>
  <si>
    <t>=NL(;"13 Salesperson/Purchaser";"2 Name";"1 Code";"@@"&amp;$I26)</t>
  </si>
  <si>
    <t>=WENN(ISTFEHLER(U26/$U$33);0;U26/$U$33)</t>
  </si>
  <si>
    <t>=NF($E26;"62 Sales (LCY)";"55 Date Filter";M$6)</t>
  </si>
  <si>
    <t>=NF($E26;"62 Sales (LCY)";"55 Date Filter";N$6)</t>
  </si>
  <si>
    <t>=WENN(ISTFEHLER((M26-N26)/N26);0;(M26-N26)/N26)</t>
  </si>
  <si>
    <t>=NF($E26;"62 Sales (LCY)";"55 Date Filter";Q$6)</t>
  </si>
  <si>
    <t>=NF($E26;"62 Sales (LCY)";"55 Date Filter";R$6)</t>
  </si>
  <si>
    <t>=WENN(ISTFEHLER((Q26-R26)/R26);0;(Q26-R26)/R26)</t>
  </si>
  <si>
    <t>=NF($E26;"62 Sales (LCY)";"55 Date Filter";U$6)</t>
  </si>
  <si>
    <t>=NF($E26;"62 Sales (LCY)";"55 Date Filter";V$6)</t>
  </si>
  <si>
    <t>=WENN(ISTFEHLER((U26-V26)/V26);0;(U26-V26)/V26)</t>
  </si>
  <si>
    <t>=LINKS(G27;11)</t>
  </si>
  <si>
    <t>=WENN(ISTFEHLER(U29/$U$33);0;U29/$U$33)</t>
  </si>
  <si>
    <t>=TEILERGEBNIS(9;M26:M28)</t>
  </si>
  <si>
    <t>=TEILERGEBNIS(9;Q26:Q28)</t>
  </si>
  <si>
    <t>=TEILERGEBNIS(9;U26:U28)</t>
  </si>
  <si>
    <t>=WENN(ISTFEHLER(U31/$U$33);0;U31/$U$33)</t>
  </si>
  <si>
    <t>=NL("Sum";"18 Customer";"62 Sales (LCY)";"55 Date Filter";M$6;"1 No.";$G$19;"21 Customer Posting Group";$G$20;"29 Salesperson Code";$G$21)-M29</t>
  </si>
  <si>
    <t>=NL("Sum";"18 Customer";"62 Sales (LCY)";"55 Date Filter";Q$6;"1 No.";$G$19;"21 Customer Posting Group";$G$20;"29 Salesperson Code";$G$21)-Q29</t>
  </si>
  <si>
    <t>=NL("Sum";"18 Customer";"62 Sales (LCY)";"55 Date Filter";U$6;"1 No.";$G$19;"21 Customer Posting Group";$G$20;"29 Salesperson Code";$G$21)-U29</t>
  </si>
  <si>
    <t>=WENN(ISTFEHLER(U33/$U$33);0;U33/$U$33)</t>
  </si>
  <si>
    <t>=SUMME(M29:M32)</t>
  </si>
  <si>
    <t>=SUMME(Q29:Q32)</t>
  </si>
  <si>
    <t>=SUMME(U29:U32)</t>
  </si>
  <si>
    <t>="""NAV 2016"",""CRONUS AG"",""18"",""1"",""49858585"""</t>
  </si>
  <si>
    <t>="""NAV 2016"",""CRONUS AG"",""18"",""1"",""43687129"""</t>
  </si>
  <si>
    <t>="""NAV 2016"",""CRONUS AG"",""18"",""1"",""47563218"""</t>
  </si>
  <si>
    <t>="""NAV 2016"",""CRONUS AG"",""18"",""1"",""20000"""</t>
  </si>
  <si>
    <t>="""NAV 2016"",""CRONUS AG"",""18"",""1"",""30000"""</t>
  </si>
  <si>
    <t>="""NAV 2016"",""CRONUS AG"",""18"",""1"",""49525252"""</t>
  </si>
  <si>
    <t>="""NAV 2016"",""CRONUS AG"",""18"",""1"",""49633663"""</t>
  </si>
  <si>
    <t>="""NAV 2016"",""CRONUS AG"",""18"",""1"",""32656565"""</t>
  </si>
  <si>
    <t>="""NAV 2016"",""CRONUS AG"",""18"",""1"",""35963852"""</t>
  </si>
  <si>
    <t>="""NAV 2016"",""CRONUS AG"",""18"",""1"",""42147258"""</t>
  </si>
  <si>
    <t>="""NAV 2016"",""CRONUS AG"",""18"",""1"",""01445544"""</t>
  </si>
  <si>
    <t>="""NAV 2016"",""CRONUS AG"",""18"",""1"",""35451236"""</t>
  </si>
  <si>
    <t>="""NAV 2016"",""CRONUS AG"",""18"",""1"",""46897889"""</t>
  </si>
  <si>
    <t>="""NAV 2016"",""CRONUS AG"",""18"",""1"",""01121212"""</t>
  </si>
  <si>
    <t>="""NAV 2016"",""CRONUS AG"",""18"",""1"",""01454545"""</t>
  </si>
  <si>
    <t>="""NAV 2016"",""CRONUS AG"",""18"",""1"",""01905893"""</t>
  </si>
  <si>
    <t>="""NAV 2016"",""CRONUS AG"",""18"",""1"",""01905899"""</t>
  </si>
  <si>
    <t>="""NAV 2016"",""CRONUS AG"",""18"",""1"",""01905902"""</t>
  </si>
  <si>
    <t>="""NAV 2016"",""CRONUS AG"",""18"",""1"",""20309920"""</t>
  </si>
  <si>
    <t>31.1.18</t>
  </si>
  <si>
    <t>01.01.2018..31.01.2018</t>
  </si>
  <si>
    <t>01.01.2017..31.01.2017</t>
  </si>
  <si>
    <t>"NAV 2016","CRONUS AG","18","1","10000"</t>
  </si>
  <si>
    <t>Monat bis Datum</t>
  </si>
  <si>
    <t>Quartal bis Datum</t>
  </si>
  <si>
    <t>Verkäufer Code</t>
  </si>
  <si>
    <t>Verkäufer Name</t>
  </si>
  <si>
    <t>Umsatz</t>
  </si>
  <si>
    <t>Debitorenbuchungsgr.:</t>
  </si>
  <si>
    <t>Verkäufer Code:</t>
  </si>
  <si>
    <t>Debitorennr.:</t>
  </si>
  <si>
    <t>Umsatz (MW)</t>
  </si>
  <si>
    <t>Abw.</t>
  </si>
  <si>
    <t>Jahr bis Datum</t>
  </si>
  <si>
    <t>="Top "&amp;$C$3&amp;" Kundenbericht"</t>
  </si>
  <si>
    <t>="Berichtsdatum:  "&amp;TEXT($C$4,"TT.MMM.JJ")</t>
  </si>
  <si>
    <t>=NL("Rows","Debitor",,"-Verkauf (MW)",$G$18,"Nr.","@@"&amp;$G$19,"21 Customer Posting Group","@@"&amp;$G$20,"29 Salesperson Code","@@"&amp;$G$21,"Limit=",$C$3,"55 Date Filter",$U$6)</t>
  </si>
  <si>
    <t>="Berichtsdatum:  "&amp;TEXT($C$4;"TT.MMM.JJ")</t>
  </si>
  <si>
    <t>=NL("Rows";"Debitor";;"-Verkauf (MW)";$G$18;"Nr.";"@@"&amp;$G$19;"21 Customer Posting Group";"@@"&amp;$G$20;"29 Salesperson Code";"@@"&amp;$G$21;"Limit=";$C$3;"55 Date Filter";$U$6)</t>
  </si>
  <si>
    <t>Anteil Gesamtumsatz in %</t>
  </si>
  <si>
    <t>Gesamtumsatz</t>
  </si>
  <si>
    <t>Umsatz alle anderen Kunden</t>
  </si>
  <si>
    <t>="Top "&amp;$C$3&amp;" Gesamtumsatz:"</t>
  </si>
  <si>
    <t>Ja</t>
  </si>
  <si>
    <t>=IF($C$5="Ja","Show","Hide")</t>
  </si>
  <si>
    <t>=WENN($C$5="Ja";"Show";"Hide")</t>
  </si>
  <si>
    <t>Auto+Hide+HideSheet+Values+Formulas=Tabelle25,Tabelle26+FormulasOnly</t>
  </si>
  <si>
    <t>Auto+Hide+Values+Formulas=Tabelle27,Tabelle28+FormulasOnly</t>
  </si>
  <si>
    <t>Auto+Hide+HideSheet+Values+Formulas=Tabelle29,Tabelle25,Tabelle26</t>
  </si>
  <si>
    <t>Auto+Hide+HideSheet+Values+Formulas=Tabelle29,Tabelle25,Tabelle26+FormulasOnly</t>
  </si>
  <si>
    <t>Auto+Hide+Values+Formulas=Tabelle30,Tabelle27,Tabelle28</t>
  </si>
  <si>
    <t>Auto+Hide+Values+Formulas=Tabelle30,Tabelle27,Tabelle28+FormulasOnly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</si>
</sst>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mm/dd/yy;@"/>
    <numFmt numFmtId="167" formatCode="[$-409]d\-mmm\-yy;@"/>
    <numFmt numFmtId="168" formatCode="0%;[Red]\(0%\)"/>
    <numFmt numFmtId="169" formatCode="_(* #,##0_);_(* \(#,##0\);_(* &quot;-&quot;??_);_(@_)"/>
  </numFmts>
  <fonts count="24" x14ac:knownFonts="1">
    <font>
      <sz val="10"/>
      <name val="Arial"/>
    </font>
    <font>
      <sz val="10"/>
      <name val="Arial"/>
      <family val="2"/>
    </font>
    <font>
      <b/>
      <sz val="10"/>
      <name val="Arial"/>
      <family val="2"/>
    </font>
    <font>
      <sz val="8"/>
      <name val="Arial"/>
      <family val="2"/>
    </font>
    <font>
      <sz val="10"/>
      <name val="Arial"/>
      <family val="2"/>
    </font>
    <font>
      <u/>
      <sz val="10"/>
      <color indexed="12"/>
      <name val="Arial"/>
      <family val="2"/>
    </font>
    <font>
      <b/>
      <sz val="20"/>
      <color rgb="FF0074AB"/>
      <name val="Arial"/>
      <family val="2"/>
    </font>
    <font>
      <sz val="10"/>
      <color theme="0" tint="-0.249977111117893"/>
      <name val="Corbel"/>
      <family val="2"/>
      <scheme val="minor"/>
    </font>
    <font>
      <sz val="10"/>
      <color indexed="22"/>
      <name val="Corbel"/>
      <family val="2"/>
      <scheme val="minor"/>
    </font>
    <font>
      <b/>
      <sz val="12"/>
      <color rgb="FF0074AB"/>
      <name val="Corbel"/>
      <family val="2"/>
      <scheme val="minor"/>
    </font>
    <font>
      <b/>
      <sz val="12"/>
      <name val="Corbel"/>
      <family val="2"/>
      <scheme val="minor"/>
    </font>
    <font>
      <sz val="10"/>
      <name val="Corbel"/>
      <family val="2"/>
      <scheme val="minor"/>
    </font>
    <font>
      <b/>
      <sz val="10"/>
      <color rgb="FF0074AB"/>
      <name val="Corbel"/>
      <family val="2"/>
      <scheme val="minor"/>
    </font>
    <font>
      <b/>
      <sz val="10"/>
      <name val="Corbel"/>
      <family val="2"/>
      <scheme val="minor"/>
    </font>
    <font>
      <b/>
      <sz val="9"/>
      <name val="Corbel"/>
      <family val="2"/>
      <scheme val="minor"/>
    </font>
    <font>
      <b/>
      <sz val="10"/>
      <color theme="0"/>
      <name val="Corbel"/>
      <family val="2"/>
      <scheme val="minor"/>
    </font>
    <font>
      <b/>
      <sz val="10"/>
      <color theme="0" tint="-0.249977111117893"/>
      <name val="Corbel"/>
      <family val="2"/>
      <scheme val="minor"/>
    </font>
    <font>
      <b/>
      <sz val="10"/>
      <color indexed="22"/>
      <name val="Corbel"/>
      <family val="2"/>
      <scheme val="minor"/>
    </font>
    <font>
      <b/>
      <sz val="10"/>
      <color indexed="9"/>
      <name val="Corbel"/>
      <family val="2"/>
      <scheme val="minor"/>
    </font>
    <font>
      <sz val="10"/>
      <color indexed="9"/>
      <name val="Corbel"/>
      <family val="2"/>
      <scheme val="minor"/>
    </font>
    <font>
      <b/>
      <sz val="10"/>
      <name val="Segoe UI"/>
      <family val="2"/>
    </font>
    <font>
      <sz val="10"/>
      <name val="Segoe UI"/>
      <family val="2"/>
    </font>
    <font>
      <u/>
      <sz val="10"/>
      <color indexed="12"/>
      <name val="Segoe UI"/>
      <family val="2"/>
    </font>
    <font>
      <sz val="11"/>
      <name val="Corbel"/>
      <family val="2"/>
      <scheme val="minor"/>
    </font>
  </fonts>
  <fills count="8">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rgb="FF0074AB"/>
        <bgColor indexed="64"/>
      </patternFill>
    </fill>
    <fill>
      <patternFill patternType="solid">
        <fgColor theme="3" tint="0.79998168889431442"/>
        <bgColor indexed="64"/>
      </patternFill>
    </fill>
    <fill>
      <patternFill patternType="solid">
        <fgColor rgb="FFFFFFFF"/>
        <bgColor indexed="64"/>
      </patternFill>
    </fill>
  </fills>
  <borders count="6">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95">
    <xf numFmtId="0" fontId="0" fillId="0" borderId="0" xfId="0"/>
    <xf numFmtId="0" fontId="0" fillId="0" borderId="0" xfId="0" quotePrefix="1"/>
    <xf numFmtId="0" fontId="0" fillId="4" borderId="0" xfId="0" applyFill="1"/>
    <xf numFmtId="0" fontId="0" fillId="4" borderId="0" xfId="0" applyFill="1" applyAlignment="1">
      <alignment vertical="top"/>
    </xf>
    <xf numFmtId="0" fontId="0" fillId="4" borderId="0" xfId="0" applyFill="1" applyAlignment="1">
      <alignment wrapText="1"/>
    </xf>
    <xf numFmtId="0" fontId="2" fillId="4" borderId="0" xfId="0" applyFont="1" applyFill="1" applyAlignment="1">
      <alignment vertical="top"/>
    </xf>
    <xf numFmtId="0" fontId="4" fillId="4" borderId="0" xfId="0" applyFont="1" applyFill="1" applyAlignment="1">
      <alignment wrapText="1"/>
    </xf>
    <xf numFmtId="0" fontId="6" fillId="4" borderId="0" xfId="0" applyFont="1" applyFill="1" applyAlignment="1">
      <alignment vertical="top"/>
    </xf>
    <xf numFmtId="0" fontId="7" fillId="2" borderId="0" xfId="0" applyFont="1" applyFill="1"/>
    <xf numFmtId="165" fontId="7" fillId="2" borderId="0" xfId="1" applyFont="1" applyFill="1"/>
    <xf numFmtId="9" fontId="7" fillId="2" borderId="0" xfId="4" applyFont="1" applyFill="1" applyAlignment="1">
      <alignment horizontal="center"/>
    </xf>
    <xf numFmtId="0" fontId="7" fillId="2" borderId="0" xfId="0" applyFont="1" applyFill="1" applyAlignment="1">
      <alignment horizontal="center"/>
    </xf>
    <xf numFmtId="166" fontId="7" fillId="2" borderId="0" xfId="0" applyNumberFormat="1" applyFont="1" applyFill="1" applyAlignment="1">
      <alignment horizontal="center"/>
    </xf>
    <xf numFmtId="167" fontId="7" fillId="2" borderId="0" xfId="0" applyNumberFormat="1" applyFont="1" applyFill="1"/>
    <xf numFmtId="0" fontId="8" fillId="2" borderId="0" xfId="0" applyFont="1" applyFill="1"/>
    <xf numFmtId="0" fontId="9" fillId="2" borderId="0" xfId="0" applyFont="1" applyFill="1" applyAlignment="1">
      <alignment horizontal="left" wrapText="1"/>
    </xf>
    <xf numFmtId="0" fontId="9" fillId="2" borderId="0" xfId="0" applyFont="1" applyFill="1" applyAlignment="1"/>
    <xf numFmtId="0" fontId="10" fillId="2" borderId="0" xfId="0" applyFont="1" applyFill="1" applyAlignment="1"/>
    <xf numFmtId="0" fontId="11" fillId="2" borderId="0" xfId="0" applyFont="1" applyFill="1"/>
    <xf numFmtId="0" fontId="12" fillId="2" borderId="0" xfId="0" applyFont="1" applyFill="1" applyAlignment="1">
      <alignment horizontal="left"/>
    </xf>
    <xf numFmtId="0" fontId="12" fillId="2" borderId="0" xfId="0" applyFont="1" applyFill="1" applyAlignment="1"/>
    <xf numFmtId="0" fontId="13" fillId="2" borderId="0" xfId="0" applyFont="1" applyFill="1" applyAlignment="1"/>
    <xf numFmtId="0" fontId="13" fillId="2" borderId="0" xfId="0" applyFont="1" applyFill="1" applyAlignment="1">
      <alignment horizontal="center"/>
    </xf>
    <xf numFmtId="0" fontId="13" fillId="2" borderId="0" xfId="0" applyFont="1" applyFill="1" applyAlignment="1">
      <alignment horizontal="left"/>
    </xf>
    <xf numFmtId="0" fontId="14" fillId="2" borderId="0" xfId="0" applyFont="1" applyFill="1" applyAlignment="1">
      <alignment horizontal="left"/>
    </xf>
    <xf numFmtId="9" fontId="11" fillId="2" borderId="0" xfId="4" applyFont="1" applyFill="1" applyAlignment="1">
      <alignment horizontal="center"/>
    </xf>
    <xf numFmtId="165" fontId="11" fillId="2" borderId="0" xfId="1" applyFont="1" applyFill="1"/>
    <xf numFmtId="0" fontId="16" fillId="2" borderId="0" xfId="0" applyFont="1" applyFill="1" applyAlignment="1">
      <alignment wrapText="1"/>
    </xf>
    <xf numFmtId="0" fontId="17" fillId="2" borderId="0" xfId="0" applyFont="1" applyFill="1" applyAlignment="1">
      <alignment wrapText="1"/>
    </xf>
    <xf numFmtId="0" fontId="15" fillId="5" borderId="3" xfId="0" applyFont="1" applyFill="1" applyBorder="1" applyAlignment="1">
      <alignment wrapText="1"/>
    </xf>
    <xf numFmtId="0" fontId="15" fillId="5" borderId="4" xfId="0" applyFont="1" applyFill="1" applyBorder="1" applyAlignment="1">
      <alignment wrapText="1"/>
    </xf>
    <xf numFmtId="9" fontId="15" fillId="5" borderId="4" xfId="4" applyFont="1" applyFill="1" applyBorder="1" applyAlignment="1">
      <alignment wrapText="1"/>
    </xf>
    <xf numFmtId="0" fontId="15" fillId="5" borderId="4" xfId="0" applyFont="1" applyFill="1" applyBorder="1" applyAlignment="1">
      <alignment horizontal="center" wrapText="1"/>
    </xf>
    <xf numFmtId="0" fontId="13" fillId="2" borderId="0" xfId="0" applyFont="1" applyFill="1" applyAlignment="1">
      <alignment wrapText="1"/>
    </xf>
    <xf numFmtId="0" fontId="16" fillId="2" borderId="0" xfId="0" applyFont="1" applyFill="1"/>
    <xf numFmtId="0" fontId="17" fillId="2" borderId="0" xfId="0" applyFont="1" applyFill="1"/>
    <xf numFmtId="0" fontId="18" fillId="2" borderId="0" xfId="0" applyFont="1" applyFill="1" applyBorder="1"/>
    <xf numFmtId="0" fontId="13" fillId="2" borderId="0" xfId="0" applyFont="1" applyFill="1" applyBorder="1"/>
    <xf numFmtId="9" fontId="13" fillId="2" borderId="0" xfId="4" applyFont="1" applyFill="1" applyBorder="1" applyAlignment="1">
      <alignment horizontal="center"/>
    </xf>
    <xf numFmtId="0" fontId="13" fillId="2" borderId="0" xfId="0" applyFont="1" applyFill="1" applyBorder="1" applyAlignment="1">
      <alignment wrapText="1"/>
    </xf>
    <xf numFmtId="165" fontId="18" fillId="2" borderId="0" xfId="1" applyFont="1" applyFill="1" applyBorder="1"/>
    <xf numFmtId="165" fontId="13" fillId="2" borderId="0" xfId="1" applyFont="1" applyFill="1" applyBorder="1"/>
    <xf numFmtId="0" fontId="13" fillId="2" borderId="0" xfId="0" applyFont="1" applyFill="1"/>
    <xf numFmtId="1" fontId="11" fillId="2" borderId="0" xfId="0" applyNumberFormat="1" applyFont="1" applyFill="1" applyBorder="1"/>
    <xf numFmtId="0" fontId="11" fillId="2" borderId="0" xfId="0" applyFont="1" applyFill="1" applyBorder="1"/>
    <xf numFmtId="9" fontId="11" fillId="2" borderId="0" xfId="4" applyFont="1" applyFill="1" applyBorder="1" applyAlignment="1">
      <alignment horizontal="center"/>
    </xf>
    <xf numFmtId="169" fontId="11" fillId="2" borderId="0" xfId="1" applyNumberFormat="1" applyFont="1" applyFill="1" applyBorder="1"/>
    <xf numFmtId="168" fontId="11" fillId="2" borderId="0" xfId="4" applyNumberFormat="1" applyFont="1" applyFill="1" applyBorder="1"/>
    <xf numFmtId="0" fontId="19" fillId="2" borderId="0" xfId="0" applyFont="1" applyFill="1"/>
    <xf numFmtId="169" fontId="11" fillId="2" borderId="0" xfId="1" applyNumberFormat="1" applyFont="1" applyFill="1"/>
    <xf numFmtId="168" fontId="11" fillId="2" borderId="0" xfId="1" applyNumberFormat="1" applyFont="1" applyFill="1"/>
    <xf numFmtId="169" fontId="19" fillId="2" borderId="0" xfId="1" applyNumberFormat="1" applyFont="1" applyFill="1"/>
    <xf numFmtId="0" fontId="13" fillId="2" borderId="0" xfId="0" applyFont="1" applyFill="1" applyBorder="1" applyAlignment="1">
      <alignment horizontal="right"/>
    </xf>
    <xf numFmtId="9" fontId="13" fillId="6" borderId="1" xfId="4" applyFont="1" applyFill="1" applyBorder="1" applyAlignment="1">
      <alignment horizontal="center"/>
    </xf>
    <xf numFmtId="169" fontId="13" fillId="6" borderId="1" xfId="1" applyNumberFormat="1" applyFont="1" applyFill="1" applyBorder="1"/>
    <xf numFmtId="169" fontId="11" fillId="6" borderId="1" xfId="0" applyNumberFormat="1" applyFont="1" applyFill="1" applyBorder="1"/>
    <xf numFmtId="168" fontId="11" fillId="6" borderId="1" xfId="0" applyNumberFormat="1" applyFont="1" applyFill="1" applyBorder="1"/>
    <xf numFmtId="169" fontId="11" fillId="6" borderId="1" xfId="1" applyNumberFormat="1" applyFont="1" applyFill="1" applyBorder="1"/>
    <xf numFmtId="168" fontId="11" fillId="6" borderId="1" xfId="1" applyNumberFormat="1" applyFont="1" applyFill="1" applyBorder="1"/>
    <xf numFmtId="164" fontId="13" fillId="2" borderId="0" xfId="2" applyFont="1" applyFill="1" applyBorder="1" applyAlignment="1">
      <alignment horizontal="right"/>
    </xf>
    <xf numFmtId="169" fontId="13" fillId="2" borderId="0" xfId="0" applyNumberFormat="1" applyFont="1" applyFill="1" applyBorder="1"/>
    <xf numFmtId="168" fontId="13" fillId="2" borderId="0" xfId="0" applyNumberFormat="1" applyFont="1" applyFill="1" applyBorder="1"/>
    <xf numFmtId="169" fontId="13" fillId="2" borderId="0" xfId="1" applyNumberFormat="1" applyFont="1" applyFill="1" applyBorder="1"/>
    <xf numFmtId="168" fontId="13" fillId="2" borderId="0" xfId="1" applyNumberFormat="1" applyFont="1" applyFill="1" applyBorder="1"/>
    <xf numFmtId="0" fontId="13" fillId="2" borderId="0" xfId="0" applyFont="1" applyFill="1" applyAlignment="1">
      <alignment horizontal="right"/>
    </xf>
    <xf numFmtId="169" fontId="11" fillId="2" borderId="0" xfId="0" applyNumberFormat="1" applyFont="1" applyFill="1" applyBorder="1"/>
    <xf numFmtId="168" fontId="11" fillId="2" borderId="0" xfId="0" applyNumberFormat="1" applyFont="1" applyFill="1" applyBorder="1"/>
    <xf numFmtId="9" fontId="13" fillId="2" borderId="0" xfId="4" applyFont="1" applyFill="1" applyAlignment="1">
      <alignment horizontal="center"/>
    </xf>
    <xf numFmtId="169" fontId="11" fillId="2" borderId="0" xfId="0" applyNumberFormat="1" applyFont="1" applyFill="1"/>
    <xf numFmtId="168" fontId="11" fillId="2" borderId="0" xfId="0" applyNumberFormat="1" applyFont="1" applyFill="1"/>
    <xf numFmtId="169" fontId="13" fillId="2" borderId="0" xfId="1" applyNumberFormat="1" applyFont="1" applyFill="1"/>
    <xf numFmtId="9" fontId="13" fillId="3" borderId="2" xfId="4" applyFont="1" applyFill="1" applyBorder="1" applyAlignment="1">
      <alignment horizontal="center"/>
    </xf>
    <xf numFmtId="169" fontId="13" fillId="3" borderId="2" xfId="1" applyNumberFormat="1" applyFont="1" applyFill="1" applyBorder="1"/>
    <xf numFmtId="169" fontId="11" fillId="3" borderId="2" xfId="0" applyNumberFormat="1" applyFont="1" applyFill="1" applyBorder="1"/>
    <xf numFmtId="168" fontId="11" fillId="3" borderId="2" xfId="0" applyNumberFormat="1" applyFont="1" applyFill="1" applyBorder="1"/>
    <xf numFmtId="169" fontId="11" fillId="3" borderId="2" xfId="1" applyNumberFormat="1" applyFont="1" applyFill="1" applyBorder="1"/>
    <xf numFmtId="0" fontId="20" fillId="2" borderId="0" xfId="5" applyFont="1" applyFill="1" applyAlignment="1">
      <alignment vertical="top"/>
    </xf>
    <xf numFmtId="0" fontId="21" fillId="2" borderId="0" xfId="5" applyFont="1" applyFill="1" applyAlignment="1">
      <alignment vertical="top" wrapText="1"/>
    </xf>
    <xf numFmtId="0" fontId="22" fillId="7" borderId="0" xfId="3" applyFont="1" applyFill="1" applyAlignment="1" applyProtection="1"/>
    <xf numFmtId="0" fontId="21" fillId="2" borderId="0" xfId="5" applyFont="1" applyFill="1"/>
    <xf numFmtId="0" fontId="20" fillId="7" borderId="0" xfId="0" applyFont="1" applyFill="1" applyAlignment="1">
      <alignment vertical="top"/>
    </xf>
    <xf numFmtId="0" fontId="21" fillId="7" borderId="0" xfId="0" applyFont="1" applyFill="1" applyAlignment="1">
      <alignment wrapText="1"/>
    </xf>
    <xf numFmtId="0" fontId="21" fillId="0" borderId="0" xfId="0" applyFont="1"/>
    <xf numFmtId="0" fontId="20" fillId="7" borderId="0" xfId="0" applyFont="1" applyFill="1" applyAlignment="1">
      <alignment vertical="center"/>
    </xf>
    <xf numFmtId="0" fontId="21" fillId="7" borderId="0" xfId="0" applyFont="1" applyFill="1" applyAlignment="1">
      <alignment vertical="top" wrapText="1"/>
    </xf>
    <xf numFmtId="0" fontId="22" fillId="2" borderId="0" xfId="3" applyFont="1" applyFill="1" applyAlignment="1" applyProtection="1">
      <alignment vertical="center" wrapText="1"/>
    </xf>
    <xf numFmtId="0" fontId="11" fillId="4" borderId="0" xfId="0" applyFont="1" applyFill="1"/>
    <xf numFmtId="0" fontId="11" fillId="4" borderId="0" xfId="0" applyFont="1" applyFill="1" applyAlignment="1">
      <alignment horizontal="left"/>
    </xf>
    <xf numFmtId="0" fontId="23" fillId="4" borderId="0" xfId="0" applyFont="1" applyFill="1"/>
    <xf numFmtId="0" fontId="23" fillId="4" borderId="0" xfId="0" applyFont="1" applyFill="1" applyAlignment="1">
      <alignment horizontal="left"/>
    </xf>
    <xf numFmtId="14" fontId="23" fillId="4" borderId="0" xfId="0" applyNumberFormat="1" applyFont="1" applyFill="1" applyAlignment="1">
      <alignment horizontal="left"/>
    </xf>
    <xf numFmtId="0" fontId="9" fillId="2" borderId="0" xfId="0" applyFont="1" applyFill="1" applyAlignment="1">
      <alignment horizontal="left" wrapText="1"/>
    </xf>
    <xf numFmtId="0" fontId="12" fillId="2" borderId="0" xfId="0" applyFont="1" applyFill="1" applyAlignment="1">
      <alignment horizontal="left"/>
    </xf>
    <xf numFmtId="0" fontId="15" fillId="5" borderId="5" xfId="0" applyFont="1" applyFill="1" applyBorder="1" applyAlignment="1">
      <alignment horizontal="center" wrapText="1"/>
    </xf>
    <xf numFmtId="0" fontId="23" fillId="4" borderId="0" xfId="0" applyNumberFormat="1" applyFont="1" applyFill="1" applyAlignment="1">
      <alignment horizontal="left"/>
    </xf>
  </cellXfs>
  <cellStyles count="6">
    <cellStyle name="Komma" xfId="1" builtinId="3"/>
    <cellStyle name="Link" xfId="3" builtinId="8"/>
    <cellStyle name="Normal 2 4" xfId="5"/>
    <cellStyle name="Prozent" xfId="4" builtinId="5"/>
    <cellStyle name="Standard" xfId="0" builtinId="0"/>
    <cellStyle name="Währung" xfId="2" builtinId="4"/>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0074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Top Kundenumsätze</a:t>
            </a:r>
            <a:r>
              <a:rPr lang="en-US" baseline="0"/>
              <a:t> Jahr bis Datum</a:t>
            </a:r>
            <a:endParaRPr lang="en-US"/>
          </a:p>
        </c:rich>
      </c:tx>
      <c:layout>
        <c:manualLayout>
          <c:xMode val="edge"/>
          <c:yMode val="edge"/>
          <c:x val="1.07157086373415E-2"/>
          <c:y val="1.1799258534080153E-2"/>
        </c:manualLayout>
      </c:layout>
      <c:overlay val="1"/>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de-DE"/>
        </a:p>
      </c:txPr>
    </c:title>
    <c:autoTitleDeleted val="0"/>
    <c:view3D>
      <c:rotX val="15"/>
      <c:rotY val="0"/>
      <c:rAngAx val="0"/>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727775870620927"/>
          <c:y val="0.27668945122676175"/>
          <c:w val="0.78297613699608348"/>
          <c:h val="0.66168419542887125"/>
        </c:manualLayout>
      </c:layout>
      <c:pie3DChart>
        <c:varyColors val="1"/>
        <c:ser>
          <c:idx val="0"/>
          <c:order val="0"/>
          <c:tx>
            <c:strRef>
              <c:f>Kundenumsatzanalyse!$U$24</c:f>
              <c:strCache>
                <c:ptCount val="1"/>
                <c:pt idx="0">
                  <c:v>Umsatz</c:v>
                </c:pt>
              </c:strCache>
            </c:strRef>
          </c:tx>
          <c:explosion val="25"/>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9"/>
            <c:bubble3D val="0"/>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de-DE"/>
              </a:p>
            </c:txPr>
            <c:showLegendKey val="0"/>
            <c:showVal val="0"/>
            <c:showCatName val="1"/>
            <c:showSerName val="0"/>
            <c:showPercent val="0"/>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layout/>
              </c:ext>
            </c:extLst>
          </c:dLbls>
          <c:cat>
            <c:strRef>
              <c:f>Kundenumsatzanalyse!$H$26:$H$46</c:f>
              <c:strCache>
                <c:ptCount val="20"/>
                <c:pt idx="0">
                  <c:v>Möbel-Melle</c:v>
                </c:pt>
                <c:pt idx="1">
                  <c:v>Hotel Pferd</c:v>
                </c:pt>
                <c:pt idx="2">
                  <c:v>Designstudi</c:v>
                </c:pt>
                <c:pt idx="3">
                  <c:v>Klubben</c:v>
                </c:pt>
                <c:pt idx="4">
                  <c:v>Blütenhaus </c:v>
                </c:pt>
                <c:pt idx="5">
                  <c:v>Gilde Jupit</c:v>
                </c:pt>
                <c:pt idx="6">
                  <c:v>Beef House</c:v>
                </c:pt>
                <c:pt idx="7">
                  <c:v>Autohaus Mi</c:v>
                </c:pt>
                <c:pt idx="8">
                  <c:v>Antarcticop</c:v>
                </c:pt>
                <c:pt idx="9">
                  <c:v>Heimilispry</c:v>
                </c:pt>
                <c:pt idx="10">
                  <c:v>BYT-KOMPLET</c:v>
                </c:pt>
                <c:pt idx="11">
                  <c:v>Progressive</c:v>
                </c:pt>
                <c:pt idx="12">
                  <c:v>Gagn &amp; Gama</c:v>
                </c:pt>
                <c:pt idx="13">
                  <c:v>Englunds Ko</c:v>
                </c:pt>
                <c:pt idx="14">
                  <c:v>Spotsmeyer'</c:v>
                </c:pt>
                <c:pt idx="15">
                  <c:v>New Concept</c:v>
                </c:pt>
                <c:pt idx="16">
                  <c:v>Candoxy Can</c:v>
                </c:pt>
                <c:pt idx="17">
                  <c:v>Elkhorn Air</c:v>
                </c:pt>
                <c:pt idx="18">
                  <c:v>London Cand</c:v>
                </c:pt>
                <c:pt idx="19">
                  <c:v>Metatorad M</c:v>
                </c:pt>
              </c:strCache>
            </c:strRef>
          </c:cat>
          <c:val>
            <c:numRef>
              <c:f>Kundenumsatzanalyse!$U$26:$U$46</c:f>
              <c:numCache>
                <c:formatCode>_(* #.##0_);_(* \(#.##0\);_(* "-"??_);_(@_)</c:formatCode>
                <c:ptCount val="20"/>
                <c:pt idx="0">
                  <c:v>26399.190000000002</c:v>
                </c:pt>
                <c:pt idx="1">
                  <c:v>22298.71</c:v>
                </c:pt>
                <c:pt idx="2">
                  <c:v>21264.959999999999</c:v>
                </c:pt>
                <c:pt idx="3">
                  <c:v>18232.899999999998</c:v>
                </c:pt>
                <c:pt idx="4">
                  <c:v>10009.43</c:v>
                </c:pt>
                <c:pt idx="5">
                  <c:v>9449.7000000000007</c:v>
                </c:pt>
                <c:pt idx="6">
                  <c:v>9294.0300000000007</c:v>
                </c:pt>
                <c:pt idx="7">
                  <c:v>6709.2699999999995</c:v>
                </c:pt>
                <c:pt idx="8">
                  <c:v>4000.25</c:v>
                </c:pt>
                <c:pt idx="9">
                  <c:v>3135.1299999999997</c:v>
                </c:pt>
                <c:pt idx="10">
                  <c:v>2483</c:v>
                </c:pt>
                <c:pt idx="11">
                  <c:v>2322.61</c:v>
                </c:pt>
                <c:pt idx="12">
                  <c:v>1358.82</c:v>
                </c:pt>
                <c:pt idx="13">
                  <c:v>1043.54</c:v>
                </c:pt>
                <c:pt idx="14">
                  <c:v>0</c:v>
                </c:pt>
                <c:pt idx="15">
                  <c:v>0</c:v>
                </c:pt>
                <c:pt idx="16">
                  <c:v>0</c:v>
                </c:pt>
                <c:pt idx="17">
                  <c:v>0</c:v>
                </c:pt>
                <c:pt idx="18">
                  <c:v>0</c:v>
                </c:pt>
                <c:pt idx="19">
                  <c:v>0</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19050" cap="flat" cmpd="sng" algn="ctr">
      <a:solidFill>
        <a:schemeClr val="accent1"/>
      </a:solidFill>
      <a:prstDash val="solid"/>
      <a:round/>
    </a:ln>
    <a:effectLst/>
  </c:spPr>
  <c:txPr>
    <a:bodyPr/>
    <a:lstStyle/>
    <a:p>
      <a:pPr>
        <a:defRPr/>
      </a:pPr>
      <a:endParaRPr lang="de-DE"/>
    </a:p>
  </c:txPr>
  <c:printSettings>
    <c:headerFooter alignWithMargins="0"/>
    <c:pageMargins b="1" l="0.75000000000000144" r="0.75000000000000144" t="1" header="0.5" footer="0.5"/>
    <c:pageSetup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661737</xdr:colOff>
      <xdr:row>8</xdr:row>
      <xdr:rowOff>130342</xdr:rowOff>
    </xdr:from>
    <xdr:to>
      <xdr:col>20</xdr:col>
      <xdr:colOff>681791</xdr:colOff>
      <xdr:row>21</xdr:row>
      <xdr:rowOff>124327</xdr:rowOff>
    </xdr:to>
    <xdr:graphicFrame macro="">
      <xdr:nvGraphicFramePr>
        <xdr:cNvPr id="1075"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679493</xdr:colOff>
      <xdr:row>12</xdr:row>
      <xdr:rowOff>90237</xdr:rowOff>
    </xdr:from>
    <xdr:to>
      <xdr:col>23</xdr:col>
      <xdr:colOff>397280</xdr:colOff>
      <xdr:row>18</xdr:row>
      <xdr:rowOff>70686</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936914" y="2055395"/>
          <a:ext cx="1917560" cy="942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3429000</xdr:colOff>
      <xdr:row>3</xdr:row>
      <xdr:rowOff>133350</xdr:rowOff>
    </xdr:from>
    <xdr:to>
      <xdr:col>5</xdr:col>
      <xdr:colOff>23771</xdr:colOff>
      <xdr:row>6</xdr:row>
      <xdr:rowOff>7289</xdr:rowOff>
    </xdr:to>
    <xdr:pic>
      <xdr:nvPicPr>
        <xdr:cNvPr id="3" name="Picture 2" descr="Jet Reports V7 logo"/>
        <xdr:cNvPicPr/>
      </xdr:nvPicPr>
      <xdr:blipFill>
        <a:blip xmlns:r="http://schemas.openxmlformats.org/officeDocument/2006/relationships" r:embed="rId1" cstate="print"/>
        <a:srcRect l="12053" t="23433" r="12051" b="24092"/>
        <a:stretch>
          <a:fillRect/>
        </a:stretch>
      </xdr:blipFill>
      <xdr:spPr bwMode="auto">
        <a:xfrm>
          <a:off x="6181725" y="457200"/>
          <a:ext cx="1595396" cy="5406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Depth">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Depth">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jetreports.com/customers/support.php" TargetMode="External"/><Relationship Id="rId7" Type="http://schemas.openxmlformats.org/officeDocument/2006/relationships/printerSettings" Target="../printerSettings/printerSettings3.bin"/><Relationship Id="rId2" Type="http://schemas.openxmlformats.org/officeDocument/2006/relationships/hyperlink" Target="mailto:services@jetreports.com" TargetMode="External"/><Relationship Id="rId1" Type="http://schemas.openxmlformats.org/officeDocument/2006/relationships/hyperlink" Target="http://www.jetreports.com/welcome/welcome.php" TargetMode="External"/><Relationship Id="rId6" Type="http://schemas.openxmlformats.org/officeDocument/2006/relationships/hyperlink" Target="mailto:sales@jetreports.com" TargetMode="External"/><Relationship Id="rId5" Type="http://schemas.openxmlformats.org/officeDocument/2006/relationships/hyperlink" Target="http://www.jetreports.com/download/download.php" TargetMode="External"/><Relationship Id="rId4" Type="http://schemas.openxmlformats.org/officeDocument/2006/relationships/hyperlink" Target="mailto:samplereports@jetrepor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E7" sqref="E7"/>
    </sheetView>
  </sheetViews>
  <sheetFormatPr baseColWidth="10" defaultColWidth="9.109375" defaultRowHeight="13.8" x14ac:dyDescent="0.3"/>
  <cols>
    <col min="1" max="1" width="9.109375" style="86" hidden="1" customWidth="1"/>
    <col min="2" max="2" width="9.109375" style="86"/>
    <col min="3" max="3" width="30.44140625" style="86" customWidth="1"/>
    <col min="4" max="4" width="21.44140625" style="87" customWidth="1"/>
    <col min="5" max="6" width="25.5546875" style="86" customWidth="1"/>
    <col min="7" max="16384" width="9.109375" style="86"/>
  </cols>
  <sheetData>
    <row r="1" spans="1:5" hidden="1" x14ac:dyDescent="0.3">
      <c r="A1" s="86" t="s">
        <v>510</v>
      </c>
      <c r="C1" s="86" t="s">
        <v>17</v>
      </c>
      <c r="D1" s="87" t="s">
        <v>16</v>
      </c>
      <c r="E1" s="86" t="s">
        <v>14</v>
      </c>
    </row>
    <row r="4" spans="1:5" ht="14.4" x14ac:dyDescent="0.3">
      <c r="A4" s="86" t="s">
        <v>18</v>
      </c>
      <c r="C4" s="88" t="s">
        <v>24</v>
      </c>
      <c r="D4" s="89" t="str">
        <f>"20"</f>
        <v>20</v>
      </c>
      <c r="E4" s="88"/>
    </row>
    <row r="5" spans="1:5" ht="14.4" x14ac:dyDescent="0.3">
      <c r="A5" s="86" t="s">
        <v>18</v>
      </c>
      <c r="C5" s="88" t="s">
        <v>25</v>
      </c>
      <c r="D5" s="90" t="str">
        <f>"31.1.18"</f>
        <v>31.1.18</v>
      </c>
      <c r="E5" s="88"/>
    </row>
    <row r="6" spans="1:5" ht="14.4" x14ac:dyDescent="0.3">
      <c r="A6" s="86" t="s">
        <v>18</v>
      </c>
      <c r="C6" s="88" t="s">
        <v>30</v>
      </c>
      <c r="D6" s="94" t="s">
        <v>15</v>
      </c>
      <c r="E6" s="88"/>
    </row>
    <row r="7" spans="1:5" ht="14.4" x14ac:dyDescent="0.3">
      <c r="A7" s="86" t="s">
        <v>18</v>
      </c>
      <c r="C7" s="88" t="s">
        <v>31</v>
      </c>
      <c r="D7" s="94" t="s">
        <v>15</v>
      </c>
      <c r="E7" s="88" t="s">
        <v>14</v>
      </c>
    </row>
    <row r="8" spans="1:5" ht="14.4" x14ac:dyDescent="0.3">
      <c r="A8" s="86" t="s">
        <v>18</v>
      </c>
      <c r="C8" s="88" t="s">
        <v>19</v>
      </c>
      <c r="D8" s="94" t="s">
        <v>15</v>
      </c>
      <c r="E8" s="88" t="s">
        <v>14</v>
      </c>
    </row>
    <row r="9" spans="1:5" ht="14.4" x14ac:dyDescent="0.3">
      <c r="A9" s="86" t="s">
        <v>18</v>
      </c>
      <c r="C9" s="88" t="s">
        <v>20</v>
      </c>
      <c r="D9" s="94" t="s">
        <v>15</v>
      </c>
      <c r="E9" s="88" t="s">
        <v>14</v>
      </c>
    </row>
    <row r="10" spans="1:5" ht="14.4" x14ac:dyDescent="0.3">
      <c r="A10" s="86" t="s">
        <v>18</v>
      </c>
      <c r="C10" s="88" t="s">
        <v>33</v>
      </c>
      <c r="D10" s="89" t="s">
        <v>505</v>
      </c>
      <c r="E10" s="88" t="s">
        <v>14</v>
      </c>
    </row>
  </sheetData>
  <phoneticPr fontId="3"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tabSelected="1" topLeftCell="D9" zoomScale="70" zoomScaleNormal="70" workbookViewId="0">
      <selection activeCell="Y22" sqref="Y22"/>
    </sheetView>
  </sheetViews>
  <sheetFormatPr baseColWidth="10" defaultColWidth="9.109375" defaultRowHeight="13.8" x14ac:dyDescent="0.3"/>
  <cols>
    <col min="1" max="1" width="9.109375" style="8" hidden="1" customWidth="1"/>
    <col min="2" max="2" width="16" style="8" hidden="1" customWidth="1"/>
    <col min="3" max="3" width="12.88671875" style="8" hidden="1" customWidth="1"/>
    <col min="4" max="4" width="4.33203125" style="8" customWidth="1"/>
    <col min="5" max="5" width="13.88671875" style="14" hidden="1" customWidth="1"/>
    <col min="6" max="6" width="17.5546875" style="18" bestFit="1" customWidth="1"/>
    <col min="7" max="7" width="27.5546875" style="18" bestFit="1" customWidth="1"/>
    <col min="8" max="8" width="0.33203125" style="18" customWidth="1"/>
    <col min="9" max="9" width="5.109375" style="18" hidden="1" customWidth="1"/>
    <col min="10" max="10" width="16.33203125" style="18" customWidth="1"/>
    <col min="11" max="11" width="10.44140625" style="25" customWidth="1"/>
    <col min="12" max="12" width="0.88671875" style="25" customWidth="1"/>
    <col min="13" max="13" width="14.109375" style="18" customWidth="1"/>
    <col min="14" max="14" width="13.44140625" style="18" customWidth="1"/>
    <col min="15" max="15" width="5.33203125" style="18" bestFit="1" customWidth="1"/>
    <col min="16" max="16" width="0.88671875" style="18" customWidth="1"/>
    <col min="17" max="17" width="14.33203125" style="18" customWidth="1"/>
    <col min="18" max="18" width="13.44140625" style="18" customWidth="1"/>
    <col min="19" max="19" width="5.33203125" style="18" bestFit="1" customWidth="1"/>
    <col min="20" max="20" width="0.88671875" style="18" customWidth="1"/>
    <col min="21" max="21" width="14.33203125" style="26" customWidth="1"/>
    <col min="22" max="22" width="13.44140625" style="26" customWidth="1"/>
    <col min="23" max="23" width="5.33203125" style="18" bestFit="1" customWidth="1"/>
    <col min="24" max="16384" width="9.109375" style="18"/>
  </cols>
  <sheetData>
    <row r="1" spans="1:23" s="8" customFormat="1" hidden="1" x14ac:dyDescent="0.3">
      <c r="A1" s="8" t="s">
        <v>512</v>
      </c>
      <c r="B1" s="8" t="s">
        <v>22</v>
      </c>
      <c r="C1" s="8" t="s">
        <v>22</v>
      </c>
      <c r="E1" s="8" t="s">
        <v>22</v>
      </c>
      <c r="F1" s="8" t="s">
        <v>21</v>
      </c>
      <c r="G1" s="8" t="s">
        <v>21</v>
      </c>
      <c r="I1" s="8" t="s">
        <v>22</v>
      </c>
      <c r="J1" s="9"/>
      <c r="K1" s="10"/>
      <c r="L1" s="10"/>
      <c r="M1" s="9"/>
      <c r="O1" s="9" t="s">
        <v>44</v>
      </c>
      <c r="P1" s="9"/>
      <c r="Q1" s="9"/>
      <c r="S1" s="9" t="s">
        <v>44</v>
      </c>
      <c r="T1" s="9"/>
      <c r="U1" s="9"/>
      <c r="W1" s="9" t="s">
        <v>44</v>
      </c>
    </row>
    <row r="2" spans="1:23" s="8" customFormat="1" hidden="1" x14ac:dyDescent="0.3">
      <c r="A2" s="8" t="s">
        <v>34</v>
      </c>
      <c r="J2" s="9"/>
      <c r="K2" s="10"/>
      <c r="L2" s="10"/>
      <c r="M2" s="9"/>
      <c r="N2" s="8" t="str">
        <f>IF($C$5="Ja","Show","Hide")</f>
        <v>Show</v>
      </c>
      <c r="O2" s="9"/>
      <c r="P2" s="9"/>
      <c r="Q2" s="9"/>
      <c r="R2" s="8" t="str">
        <f>IF($C$5="Ja","Show","Hide")</f>
        <v>Show</v>
      </c>
      <c r="S2" s="9"/>
      <c r="T2" s="9"/>
      <c r="U2" s="9"/>
      <c r="V2" s="8" t="str">
        <f>IF($C$5="Ja","Show","Hide")</f>
        <v>Show</v>
      </c>
      <c r="W2" s="9"/>
    </row>
    <row r="3" spans="1:23" s="8" customFormat="1" hidden="1" x14ac:dyDescent="0.3">
      <c r="A3" s="8" t="s">
        <v>22</v>
      </c>
      <c r="B3" s="8" t="s">
        <v>32</v>
      </c>
      <c r="C3" s="11" t="s">
        <v>46</v>
      </c>
      <c r="D3" s="11"/>
      <c r="K3" s="10"/>
      <c r="L3" s="10"/>
      <c r="U3" s="9"/>
      <c r="V3" s="9"/>
    </row>
    <row r="4" spans="1:23" s="8" customFormat="1" hidden="1" x14ac:dyDescent="0.3">
      <c r="A4" s="8" t="s">
        <v>22</v>
      </c>
      <c r="B4" s="8" t="s">
        <v>25</v>
      </c>
      <c r="C4" s="12" t="s">
        <v>481</v>
      </c>
      <c r="D4" s="12"/>
      <c r="K4" s="10"/>
      <c r="L4" s="10"/>
      <c r="M4" s="13">
        <f>DATE(YEAR($C$4),MONTH($C$4),1)</f>
        <v>43101</v>
      </c>
      <c r="N4" s="13">
        <f>DATE(YEAR($C$4)-1,MONTH($C$4),1)</f>
        <v>42736</v>
      </c>
      <c r="O4" s="13"/>
      <c r="P4" s="13"/>
      <c r="Q4" s="13">
        <f>DATE(YEAR($C$4),MONTH($C$4),1)</f>
        <v>43101</v>
      </c>
      <c r="R4" s="13">
        <f>DATE(YEAR($C$4)-1,MONTH($C$4),1)</f>
        <v>42736</v>
      </c>
      <c r="S4" s="13"/>
      <c r="T4" s="13"/>
      <c r="U4" s="13">
        <f>DATE(YEAR($C$4),1,1)</f>
        <v>43101</v>
      </c>
      <c r="V4" s="13">
        <f>DATE(YEAR($C$4)-1,1,1)</f>
        <v>42736</v>
      </c>
    </row>
    <row r="5" spans="1:23" s="8" customFormat="1" hidden="1" x14ac:dyDescent="0.3">
      <c r="A5" s="8" t="s">
        <v>22</v>
      </c>
      <c r="B5" s="8" t="s">
        <v>33</v>
      </c>
      <c r="C5" s="12" t="s">
        <v>505</v>
      </c>
      <c r="D5" s="12"/>
      <c r="K5" s="10"/>
      <c r="L5" s="10"/>
      <c r="M5" s="13">
        <f>DATE(YEAR($C$4),MONTH($C$4)+1,1-1)</f>
        <v>43131</v>
      </c>
      <c r="N5" s="13">
        <f>DATE(YEAR($C$4)-1,MONTH($C$4)+1,1-1)</f>
        <v>42766</v>
      </c>
      <c r="O5" s="13"/>
      <c r="P5" s="13"/>
      <c r="Q5" s="13">
        <f>DATE(YEAR($C$4),MONTH($C$4)+1,1-1)</f>
        <v>43131</v>
      </c>
      <c r="R5" s="13">
        <f>DATE(YEAR($C$4)-1,MONTH($C$4)+1,1-1)</f>
        <v>42766</v>
      </c>
      <c r="S5" s="13"/>
      <c r="T5" s="13"/>
      <c r="U5" s="13">
        <f>DATE(YEAR($C$4),MONTH($C$4)+1,1-1)</f>
        <v>43131</v>
      </c>
      <c r="V5" s="13">
        <f>DATE(YEAR($C$4)-1,MONTH($C$4)+1,1-1)</f>
        <v>42766</v>
      </c>
    </row>
    <row r="6" spans="1:23" s="8" customFormat="1" hidden="1" x14ac:dyDescent="0.3">
      <c r="A6" s="8" t="s">
        <v>22</v>
      </c>
      <c r="K6" s="10"/>
      <c r="L6" s="10"/>
      <c r="M6" s="8" t="s">
        <v>482</v>
      </c>
      <c r="N6" s="8" t="s">
        <v>483</v>
      </c>
      <c r="Q6" s="8" t="s">
        <v>482</v>
      </c>
      <c r="R6" s="8" t="s">
        <v>483</v>
      </c>
      <c r="U6" s="8" t="s">
        <v>482</v>
      </c>
      <c r="V6" s="8" t="s">
        <v>483</v>
      </c>
    </row>
    <row r="7" spans="1:23" s="8" customFormat="1" hidden="1" x14ac:dyDescent="0.3">
      <c r="A7" s="8" t="s">
        <v>22</v>
      </c>
      <c r="K7" s="10"/>
      <c r="L7" s="10"/>
      <c r="Q7" s="8">
        <f>MONTH(Q4)</f>
        <v>1</v>
      </c>
      <c r="R7" s="8">
        <f>MONTH(R4)</f>
        <v>1</v>
      </c>
      <c r="U7" s="9"/>
      <c r="V7" s="9"/>
    </row>
    <row r="8" spans="1:23" s="8" customFormat="1" hidden="1" x14ac:dyDescent="0.3">
      <c r="A8" s="8" t="s">
        <v>22</v>
      </c>
      <c r="K8" s="10"/>
      <c r="L8" s="10"/>
      <c r="Q8" s="8">
        <f>IF(Q7&gt;8,9,IF(Q7&gt;5,6,IF(Q7&gt;2,3,1)))</f>
        <v>1</v>
      </c>
      <c r="R8" s="8">
        <f>IF(R7&gt;8,9,IF(R7&gt;5,6,IF(R7&gt;2,3,1)))</f>
        <v>1</v>
      </c>
      <c r="U8" s="9"/>
      <c r="V8" s="9"/>
    </row>
    <row r="10" spans="1:23" ht="15.6" x14ac:dyDescent="0.3">
      <c r="F10" s="91" t="str">
        <f>"Top "&amp;$C$3&amp;" Kundenbericht"</f>
        <v>Top 20 Kundenbericht</v>
      </c>
      <c r="G10" s="91"/>
      <c r="H10" s="15"/>
      <c r="I10" s="16"/>
      <c r="J10" s="16"/>
      <c r="K10" s="16"/>
      <c r="L10" s="16"/>
      <c r="M10" s="16"/>
      <c r="N10" s="17"/>
      <c r="O10" s="17"/>
      <c r="P10" s="17"/>
      <c r="Q10" s="17"/>
      <c r="R10" s="17"/>
      <c r="S10" s="17"/>
      <c r="T10" s="17"/>
      <c r="U10" s="17"/>
      <c r="V10" s="17"/>
      <c r="W10" s="17"/>
    </row>
    <row r="11" spans="1:23" x14ac:dyDescent="0.3">
      <c r="F11" s="92" t="str">
        <f>"Berichtsdatum:  "&amp;TEXT($C$4,"TT.MMM.JJ")</f>
        <v>Berichtsdatum:  31.Jan.18</v>
      </c>
      <c r="G11" s="92"/>
      <c r="H11" s="19"/>
      <c r="I11" s="20"/>
      <c r="J11" s="20"/>
      <c r="K11" s="20"/>
      <c r="L11" s="20"/>
      <c r="M11" s="20"/>
      <c r="N11" s="21"/>
      <c r="O11" s="21"/>
      <c r="P11" s="21"/>
      <c r="Q11" s="21"/>
      <c r="R11" s="21"/>
      <c r="S11" s="21"/>
      <c r="T11" s="21"/>
      <c r="U11" s="21"/>
      <c r="V11" s="21"/>
      <c r="W11" s="21"/>
    </row>
    <row r="12" spans="1:23" x14ac:dyDescent="0.3">
      <c r="F12" s="22"/>
      <c r="G12" s="22"/>
      <c r="H12" s="22"/>
      <c r="I12" s="22"/>
      <c r="J12" s="22"/>
      <c r="K12" s="22"/>
      <c r="L12" s="22"/>
      <c r="M12" s="22"/>
      <c r="N12" s="22"/>
      <c r="O12" s="22"/>
      <c r="P12" s="22"/>
      <c r="Q12" s="22"/>
      <c r="R12" s="22"/>
      <c r="S12" s="22"/>
      <c r="T12" s="22"/>
      <c r="U12" s="22"/>
      <c r="V12" s="22"/>
      <c r="W12" s="22"/>
    </row>
    <row r="13" spans="1:23" x14ac:dyDescent="0.3">
      <c r="F13" s="22"/>
      <c r="G13" s="22"/>
      <c r="H13" s="22"/>
      <c r="I13" s="22"/>
      <c r="J13" s="22"/>
      <c r="K13" s="22"/>
      <c r="L13" s="22"/>
      <c r="M13" s="22"/>
      <c r="N13" s="22"/>
      <c r="O13" s="22"/>
      <c r="P13" s="22"/>
      <c r="Q13" s="22"/>
      <c r="R13" s="22"/>
      <c r="S13" s="22"/>
      <c r="T13" s="22"/>
      <c r="U13" s="22"/>
      <c r="V13" s="22"/>
      <c r="W13" s="22"/>
    </row>
    <row r="14" spans="1:23" x14ac:dyDescent="0.3">
      <c r="F14" s="22"/>
      <c r="G14" s="22"/>
      <c r="H14" s="22"/>
      <c r="I14" s="22"/>
      <c r="J14" s="22"/>
      <c r="K14" s="22"/>
      <c r="L14" s="22"/>
      <c r="M14" s="22"/>
      <c r="N14" s="22"/>
      <c r="O14" s="22"/>
      <c r="P14" s="22"/>
      <c r="Q14" s="22"/>
      <c r="R14" s="22"/>
      <c r="S14" s="22"/>
      <c r="T14" s="22"/>
      <c r="U14" s="22"/>
      <c r="V14" s="22"/>
      <c r="W14" s="22"/>
    </row>
    <row r="15" spans="1:23" x14ac:dyDescent="0.3">
      <c r="F15" s="22"/>
      <c r="G15" s="22"/>
      <c r="H15" s="22"/>
      <c r="I15" s="22"/>
      <c r="J15" s="22"/>
      <c r="K15" s="22"/>
      <c r="L15" s="22"/>
      <c r="M15" s="22"/>
      <c r="N15" s="22"/>
      <c r="O15" s="22"/>
      <c r="P15" s="22"/>
      <c r="Q15" s="22"/>
      <c r="R15" s="22"/>
      <c r="S15" s="22"/>
      <c r="T15" s="22"/>
      <c r="U15" s="22"/>
      <c r="V15" s="22"/>
      <c r="W15" s="22"/>
    </row>
    <row r="16" spans="1:23" x14ac:dyDescent="0.3">
      <c r="F16" s="22"/>
      <c r="G16" s="22"/>
      <c r="H16" s="22"/>
      <c r="I16" s="22"/>
      <c r="J16" s="22"/>
      <c r="K16" s="22"/>
      <c r="L16" s="22"/>
      <c r="M16" s="22"/>
      <c r="N16" s="22"/>
      <c r="O16" s="22"/>
      <c r="P16" s="22"/>
      <c r="Q16" s="22"/>
      <c r="R16" s="22"/>
      <c r="S16" s="22"/>
      <c r="T16" s="22"/>
      <c r="U16" s="22"/>
      <c r="V16" s="22"/>
      <c r="W16" s="22"/>
    </row>
    <row r="17" spans="1:23" x14ac:dyDescent="0.3">
      <c r="G17" s="23"/>
      <c r="H17" s="23"/>
      <c r="I17" s="22"/>
      <c r="J17" s="22"/>
      <c r="K17" s="22"/>
      <c r="L17" s="22"/>
      <c r="M17" s="22"/>
      <c r="N17" s="22"/>
      <c r="O17" s="22"/>
      <c r="P17" s="22"/>
      <c r="Q17" s="22"/>
      <c r="R17" s="22"/>
      <c r="S17" s="22"/>
      <c r="T17" s="22"/>
      <c r="U17" s="22"/>
      <c r="V17" s="22"/>
      <c r="W17" s="22"/>
    </row>
    <row r="18" spans="1:23" x14ac:dyDescent="0.3">
      <c r="F18" s="24" t="s">
        <v>489</v>
      </c>
      <c r="G18" s="18" t="s">
        <v>15</v>
      </c>
      <c r="K18" s="22"/>
      <c r="L18" s="22"/>
      <c r="M18" s="22"/>
      <c r="N18" s="22"/>
      <c r="O18" s="22"/>
      <c r="P18" s="22"/>
      <c r="Q18" s="22"/>
      <c r="R18" s="22"/>
      <c r="S18" s="22"/>
      <c r="T18" s="22"/>
      <c r="U18" s="22"/>
      <c r="V18" s="22"/>
      <c r="W18" s="22"/>
    </row>
    <row r="19" spans="1:23" x14ac:dyDescent="0.3">
      <c r="F19" s="24" t="s">
        <v>492</v>
      </c>
      <c r="G19" s="18" t="s">
        <v>15</v>
      </c>
    </row>
    <row r="20" spans="1:23" x14ac:dyDescent="0.3">
      <c r="F20" s="24" t="s">
        <v>490</v>
      </c>
      <c r="G20" s="18" t="s">
        <v>15</v>
      </c>
    </row>
    <row r="21" spans="1:23" x14ac:dyDescent="0.3">
      <c r="F21" s="24" t="s">
        <v>491</v>
      </c>
      <c r="G21" s="18" t="s">
        <v>15</v>
      </c>
    </row>
    <row r="23" spans="1:23" ht="14.4" thickBot="1" x14ac:dyDescent="0.35">
      <c r="M23" s="93" t="s">
        <v>485</v>
      </c>
      <c r="N23" s="93"/>
      <c r="O23" s="93"/>
      <c r="P23" s="25"/>
      <c r="Q23" s="93" t="s">
        <v>486</v>
      </c>
      <c r="R23" s="93"/>
      <c r="S23" s="93"/>
      <c r="T23" s="25"/>
      <c r="U23" s="93" t="s">
        <v>495</v>
      </c>
      <c r="V23" s="93"/>
      <c r="W23" s="93"/>
    </row>
    <row r="24" spans="1:23" s="33" customFormat="1" ht="42" customHeight="1" thickBot="1" x14ac:dyDescent="0.35">
      <c r="A24" s="27"/>
      <c r="B24" s="27"/>
      <c r="C24" s="27"/>
      <c r="D24" s="27"/>
      <c r="E24" s="28"/>
      <c r="F24" s="29" t="s">
        <v>405</v>
      </c>
      <c r="G24" s="30" t="s">
        <v>23</v>
      </c>
      <c r="H24" s="30" t="s">
        <v>41</v>
      </c>
      <c r="I24" s="30" t="s">
        <v>487</v>
      </c>
      <c r="J24" s="30" t="s">
        <v>488</v>
      </c>
      <c r="K24" s="31" t="s">
        <v>501</v>
      </c>
      <c r="L24" s="25"/>
      <c r="M24" s="32" t="s">
        <v>489</v>
      </c>
      <c r="N24" s="32" t="s">
        <v>493</v>
      </c>
      <c r="O24" s="32" t="s">
        <v>494</v>
      </c>
      <c r="P24" s="25"/>
      <c r="Q24" s="32" t="s">
        <v>489</v>
      </c>
      <c r="R24" s="32" t="s">
        <v>493</v>
      </c>
      <c r="S24" s="32" t="s">
        <v>494</v>
      </c>
      <c r="T24" s="25"/>
      <c r="U24" s="32" t="s">
        <v>489</v>
      </c>
      <c r="V24" s="32" t="s">
        <v>493</v>
      </c>
      <c r="W24" s="32" t="s">
        <v>494</v>
      </c>
    </row>
    <row r="25" spans="1:23" s="42" customFormat="1" x14ac:dyDescent="0.3">
      <c r="A25" s="34"/>
      <c r="B25" s="34"/>
      <c r="C25" s="34"/>
      <c r="D25" s="34"/>
      <c r="E25" s="35"/>
      <c r="F25" s="36"/>
      <c r="G25" s="37"/>
      <c r="H25" s="37"/>
      <c r="I25" s="37"/>
      <c r="J25" s="37"/>
      <c r="K25" s="38"/>
      <c r="L25" s="25"/>
      <c r="M25" s="37"/>
      <c r="N25" s="37"/>
      <c r="O25" s="39"/>
      <c r="P25" s="25"/>
      <c r="Q25" s="37"/>
      <c r="R25" s="37"/>
      <c r="S25" s="39"/>
      <c r="T25" s="25"/>
      <c r="U25" s="40">
        <v>0</v>
      </c>
      <c r="V25" s="41"/>
      <c r="W25" s="39"/>
    </row>
    <row r="26" spans="1:23" s="42" customFormat="1" x14ac:dyDescent="0.3">
      <c r="A26" s="34"/>
      <c r="B26" s="34"/>
      <c r="C26" s="34"/>
      <c r="D26" s="34"/>
      <c r="E26" s="35" t="s">
        <v>484</v>
      </c>
      <c r="F26" s="43" t="str">
        <f>"10000"</f>
        <v>10000</v>
      </c>
      <c r="G26" s="44" t="str">
        <f>"Möbel-Meller kg"</f>
        <v>Möbel-Meller kg</v>
      </c>
      <c r="H26" s="44" t="str">
        <f>LEFT(G26,11)</f>
        <v>Möbel-Melle</v>
      </c>
      <c r="I26" s="44" t="str">
        <f>"PS"</f>
        <v>PS</v>
      </c>
      <c r="J26" s="44" t="str">
        <f>"Peter Schlösser"</f>
        <v>Peter Schlösser</v>
      </c>
      <c r="K26" s="45">
        <f>IF(ISERROR(U26/$U$52),0,U26/$U$52)</f>
        <v>0.1912963435045725</v>
      </c>
      <c r="L26" s="25"/>
      <c r="M26" s="46">
        <v>26399.190000000002</v>
      </c>
      <c r="N26" s="46">
        <v>0</v>
      </c>
      <c r="O26" s="47">
        <f>IF(ISERROR((M26-N26)/N26),0,(M26-N26)/N26)</f>
        <v>0</v>
      </c>
      <c r="P26" s="25"/>
      <c r="Q26" s="46">
        <v>26399.190000000002</v>
      </c>
      <c r="R26" s="46">
        <v>0</v>
      </c>
      <c r="S26" s="47">
        <f>IF(ISERROR((Q26-R26)/R26),0,(Q26-R26)/R26)</f>
        <v>0</v>
      </c>
      <c r="T26" s="25"/>
      <c r="U26" s="46">
        <v>26399.190000000002</v>
      </c>
      <c r="V26" s="46">
        <v>0</v>
      </c>
      <c r="W26" s="47">
        <f>IF(ISERROR((U26-V26)/V26),0,(U26-V26)/V26)</f>
        <v>0</v>
      </c>
    </row>
    <row r="27" spans="1:23" s="42" customFormat="1" x14ac:dyDescent="0.3">
      <c r="A27" s="34" t="s">
        <v>26</v>
      </c>
      <c r="B27" s="34"/>
      <c r="C27" s="34"/>
      <c r="D27" s="34"/>
      <c r="E27" s="35" t="str">
        <f>"""NAV 2016"",""CRONUS AG"",""18"",""1"",""49858585"""</f>
        <v>"NAV 2016","CRONUS AG","18","1","49858585"</v>
      </c>
      <c r="F27" s="43" t="str">
        <f>"49858585"</f>
        <v>49858585</v>
      </c>
      <c r="G27" s="44" t="str">
        <f>"Hotel Pferdesee"</f>
        <v>Hotel Pferdesee</v>
      </c>
      <c r="H27" s="44" t="str">
        <f t="shared" ref="H27:H45" si="0">LEFT(G27,11)</f>
        <v>Hotel Pferd</v>
      </c>
      <c r="I27" s="44" t="str">
        <f>"PS"</f>
        <v>PS</v>
      </c>
      <c r="J27" s="44" t="str">
        <f>"Peter Schlösser"</f>
        <v>Peter Schlösser</v>
      </c>
      <c r="K27" s="45">
        <f t="shared" ref="K27:K45" si="1">IF(ISERROR(U27/$U$52),0,U27/$U$52)</f>
        <v>0.16158305189927588</v>
      </c>
      <c r="L27" s="25"/>
      <c r="M27" s="46">
        <v>22298.71</v>
      </c>
      <c r="N27" s="46">
        <v>0</v>
      </c>
      <c r="O27" s="47">
        <f t="shared" ref="O27:O45" si="2">IF(ISERROR((M27-N27)/N27),0,(M27-N27)/N27)</f>
        <v>0</v>
      </c>
      <c r="P27" s="25"/>
      <c r="Q27" s="46">
        <v>22298.71</v>
      </c>
      <c r="R27" s="46">
        <v>0</v>
      </c>
      <c r="S27" s="47">
        <f t="shared" ref="S27:S45" si="3">IF(ISERROR((Q27-R27)/R27),0,(Q27-R27)/R27)</f>
        <v>0</v>
      </c>
      <c r="T27" s="25"/>
      <c r="U27" s="46">
        <v>22298.71</v>
      </c>
      <c r="V27" s="46">
        <v>0</v>
      </c>
      <c r="W27" s="47">
        <f t="shared" ref="W27:W45" si="4">IF(ISERROR((U27-V27)/V27),0,(U27-V27)/V27)</f>
        <v>0</v>
      </c>
    </row>
    <row r="28" spans="1:23" s="42" customFormat="1" x14ac:dyDescent="0.3">
      <c r="A28" s="34" t="s">
        <v>26</v>
      </c>
      <c r="B28" s="34"/>
      <c r="C28" s="34"/>
      <c r="D28" s="34"/>
      <c r="E28" s="35" t="str">
        <f>"""NAV 2016"",""CRONUS AG"",""18"",""1"",""43687129"""</f>
        <v>"NAV 2016","CRONUS AG","18","1","43687129"</v>
      </c>
      <c r="F28" s="43" t="str">
        <f>"43687129"</f>
        <v>43687129</v>
      </c>
      <c r="G28" s="44" t="str">
        <f>"Designstudio Gmunden"</f>
        <v>Designstudio Gmunden</v>
      </c>
      <c r="H28" s="44" t="str">
        <f t="shared" si="0"/>
        <v>Designstudi</v>
      </c>
      <c r="I28" s="44" t="str">
        <f>"PS"</f>
        <v>PS</v>
      </c>
      <c r="J28" s="44" t="str">
        <f>"Peter Schlösser"</f>
        <v>Peter Schlösser</v>
      </c>
      <c r="K28" s="45">
        <f t="shared" si="1"/>
        <v>0.154092193463928</v>
      </c>
      <c r="L28" s="25"/>
      <c r="M28" s="46">
        <v>21264.959999999999</v>
      </c>
      <c r="N28" s="46">
        <v>0</v>
      </c>
      <c r="O28" s="47">
        <f t="shared" si="2"/>
        <v>0</v>
      </c>
      <c r="P28" s="25"/>
      <c r="Q28" s="46">
        <v>21264.959999999999</v>
      </c>
      <c r="R28" s="46">
        <v>0</v>
      </c>
      <c r="S28" s="47">
        <f t="shared" si="3"/>
        <v>0</v>
      </c>
      <c r="T28" s="25"/>
      <c r="U28" s="46">
        <v>21264.959999999999</v>
      </c>
      <c r="V28" s="46">
        <v>0</v>
      </c>
      <c r="W28" s="47">
        <f t="shared" si="4"/>
        <v>0</v>
      </c>
    </row>
    <row r="29" spans="1:23" s="42" customFormat="1" x14ac:dyDescent="0.3">
      <c r="A29" s="34" t="s">
        <v>26</v>
      </c>
      <c r="B29" s="34"/>
      <c r="C29" s="34"/>
      <c r="D29" s="34"/>
      <c r="E29" s="35" t="str">
        <f>"""NAV 2016"",""CRONUS AG"",""18"",""1"",""47563218"""</f>
        <v>"NAV 2016","CRONUS AG","18","1","47563218"</v>
      </c>
      <c r="F29" s="43" t="str">
        <f>"47563218"</f>
        <v>47563218</v>
      </c>
      <c r="G29" s="44" t="str">
        <f>"Klubben"</f>
        <v>Klubben</v>
      </c>
      <c r="H29" s="44" t="str">
        <f t="shared" si="0"/>
        <v>Klubben</v>
      </c>
      <c r="I29" s="44" t="str">
        <f>"JR"</f>
        <v>JR</v>
      </c>
      <c r="J29" s="44" t="str">
        <f>"Joachim Richter"</f>
        <v>Joachim Richter</v>
      </c>
      <c r="K29" s="45">
        <f t="shared" si="1"/>
        <v>0.13212098937446637</v>
      </c>
      <c r="L29" s="25"/>
      <c r="M29" s="46">
        <v>18232.899999999998</v>
      </c>
      <c r="N29" s="46">
        <v>0</v>
      </c>
      <c r="O29" s="47">
        <f t="shared" si="2"/>
        <v>0</v>
      </c>
      <c r="P29" s="25"/>
      <c r="Q29" s="46">
        <v>18232.899999999998</v>
      </c>
      <c r="R29" s="46">
        <v>0</v>
      </c>
      <c r="S29" s="47">
        <f t="shared" si="3"/>
        <v>0</v>
      </c>
      <c r="T29" s="25"/>
      <c r="U29" s="46">
        <v>18232.899999999998</v>
      </c>
      <c r="V29" s="46">
        <v>0</v>
      </c>
      <c r="W29" s="47">
        <f t="shared" si="4"/>
        <v>0</v>
      </c>
    </row>
    <row r="30" spans="1:23" s="42" customFormat="1" x14ac:dyDescent="0.3">
      <c r="A30" s="34" t="s">
        <v>26</v>
      </c>
      <c r="B30" s="34"/>
      <c r="C30" s="34"/>
      <c r="D30" s="34"/>
      <c r="E30" s="35" t="str">
        <f>"""NAV 2016"",""CRONUS AG"",""18"",""1"",""20000"""</f>
        <v>"NAV 2016","CRONUS AG","18","1","20000"</v>
      </c>
      <c r="F30" s="43" t="str">
        <f>"20000"</f>
        <v>20000</v>
      </c>
      <c r="G30" s="44" t="str">
        <f>"Blütenhaus GmbH"</f>
        <v>Blütenhaus GmbH</v>
      </c>
      <c r="H30" s="44" t="str">
        <f t="shared" si="0"/>
        <v xml:space="preserve">Blütenhaus </v>
      </c>
      <c r="I30" s="44" t="str">
        <f>"PS"</f>
        <v>PS</v>
      </c>
      <c r="J30" s="44" t="str">
        <f>"Peter Schlösser"</f>
        <v>Peter Schlösser</v>
      </c>
      <c r="K30" s="45">
        <f t="shared" si="1"/>
        <v>7.253129204210329E-2</v>
      </c>
      <c r="L30" s="25"/>
      <c r="M30" s="46">
        <v>10009.43</v>
      </c>
      <c r="N30" s="46">
        <v>0</v>
      </c>
      <c r="O30" s="47">
        <f t="shared" si="2"/>
        <v>0</v>
      </c>
      <c r="P30" s="25"/>
      <c r="Q30" s="46">
        <v>10009.43</v>
      </c>
      <c r="R30" s="46">
        <v>0</v>
      </c>
      <c r="S30" s="47">
        <f t="shared" si="3"/>
        <v>0</v>
      </c>
      <c r="T30" s="25"/>
      <c r="U30" s="46">
        <v>10009.43</v>
      </c>
      <c r="V30" s="46">
        <v>0</v>
      </c>
      <c r="W30" s="47">
        <f t="shared" si="4"/>
        <v>0</v>
      </c>
    </row>
    <row r="31" spans="1:23" s="42" customFormat="1" x14ac:dyDescent="0.3">
      <c r="A31" s="34" t="s">
        <v>26</v>
      </c>
      <c r="B31" s="34"/>
      <c r="C31" s="34"/>
      <c r="D31" s="34"/>
      <c r="E31" s="35" t="str">
        <f>"""NAV 2016"",""CRONUS AG"",""18"",""1"",""30000"""</f>
        <v>"NAV 2016","CRONUS AG","18","1","30000"</v>
      </c>
      <c r="F31" s="43" t="str">
        <f>"30000"</f>
        <v>30000</v>
      </c>
      <c r="G31" s="44" t="str">
        <f>"Gilde Jupiter Versicherungs AG"</f>
        <v>Gilde Jupiter Versicherungs AG</v>
      </c>
      <c r="H31" s="44" t="str">
        <f t="shared" si="0"/>
        <v>Gilde Jupit</v>
      </c>
      <c r="I31" s="44" t="str">
        <f>"PS"</f>
        <v>PS</v>
      </c>
      <c r="J31" s="44" t="str">
        <f>"Peter Schlösser"</f>
        <v>Peter Schlösser</v>
      </c>
      <c r="K31" s="45">
        <f t="shared" si="1"/>
        <v>6.8475322811615003E-2</v>
      </c>
      <c r="L31" s="25"/>
      <c r="M31" s="46">
        <v>9449.7000000000007</v>
      </c>
      <c r="N31" s="46">
        <v>0</v>
      </c>
      <c r="O31" s="47">
        <f t="shared" si="2"/>
        <v>0</v>
      </c>
      <c r="P31" s="25"/>
      <c r="Q31" s="46">
        <v>9449.7000000000007</v>
      </c>
      <c r="R31" s="46">
        <v>0</v>
      </c>
      <c r="S31" s="47">
        <f t="shared" si="3"/>
        <v>0</v>
      </c>
      <c r="T31" s="25"/>
      <c r="U31" s="46">
        <v>9449.7000000000007</v>
      </c>
      <c r="V31" s="46">
        <v>0</v>
      </c>
      <c r="W31" s="47">
        <f t="shared" si="4"/>
        <v>0</v>
      </c>
    </row>
    <row r="32" spans="1:23" s="42" customFormat="1" x14ac:dyDescent="0.3">
      <c r="A32" s="34" t="s">
        <v>26</v>
      </c>
      <c r="B32" s="34"/>
      <c r="C32" s="34"/>
      <c r="D32" s="34"/>
      <c r="E32" s="35" t="str">
        <f>"""NAV 2016"",""CRONUS AG"",""18"",""1"",""49525252"""</f>
        <v>"NAV 2016","CRONUS AG","18","1","49525252"</v>
      </c>
      <c r="F32" s="43" t="str">
        <f>"49525252"</f>
        <v>49525252</v>
      </c>
      <c r="G32" s="44" t="str">
        <f>"Beef House"</f>
        <v>Beef House</v>
      </c>
      <c r="H32" s="44" t="str">
        <f t="shared" si="0"/>
        <v>Beef House</v>
      </c>
      <c r="I32" s="44" t="str">
        <f>"PS"</f>
        <v>PS</v>
      </c>
      <c r="J32" s="44" t="str">
        <f>"Peter Schlösser"</f>
        <v>Peter Schlösser</v>
      </c>
      <c r="K32" s="45">
        <f t="shared" si="1"/>
        <v>6.7347291921524929E-2</v>
      </c>
      <c r="L32" s="25"/>
      <c r="M32" s="46">
        <v>9294.0300000000007</v>
      </c>
      <c r="N32" s="46">
        <v>0</v>
      </c>
      <c r="O32" s="47">
        <f t="shared" si="2"/>
        <v>0</v>
      </c>
      <c r="P32" s="25"/>
      <c r="Q32" s="46">
        <v>9294.0300000000007</v>
      </c>
      <c r="R32" s="46">
        <v>0</v>
      </c>
      <c r="S32" s="47">
        <f t="shared" si="3"/>
        <v>0</v>
      </c>
      <c r="T32" s="25"/>
      <c r="U32" s="46">
        <v>9294.0300000000007</v>
      </c>
      <c r="V32" s="46">
        <v>0</v>
      </c>
      <c r="W32" s="47">
        <f t="shared" si="4"/>
        <v>0</v>
      </c>
    </row>
    <row r="33" spans="1:23" s="42" customFormat="1" x14ac:dyDescent="0.3">
      <c r="A33" s="34" t="s">
        <v>26</v>
      </c>
      <c r="B33" s="34"/>
      <c r="C33" s="34"/>
      <c r="D33" s="34"/>
      <c r="E33" s="35" t="str">
        <f>"""NAV 2016"",""CRONUS AG"",""18"",""1"",""49633663"""</f>
        <v>"NAV 2016","CRONUS AG","18","1","49633663"</v>
      </c>
      <c r="F33" s="43" t="str">
        <f>"49633663"</f>
        <v>49633663</v>
      </c>
      <c r="G33" s="44" t="str">
        <f>"Autohaus Mielberg KG"</f>
        <v>Autohaus Mielberg KG</v>
      </c>
      <c r="H33" s="44" t="str">
        <f t="shared" si="0"/>
        <v>Autohaus Mi</v>
      </c>
      <c r="I33" s="44" t="str">
        <f>"PS"</f>
        <v>PS</v>
      </c>
      <c r="J33" s="44" t="str">
        <f>"Peter Schlösser"</f>
        <v>Peter Schlösser</v>
      </c>
      <c r="K33" s="45">
        <f t="shared" si="1"/>
        <v>4.8617356009215545E-2</v>
      </c>
      <c r="L33" s="25"/>
      <c r="M33" s="46">
        <v>6709.2699999999995</v>
      </c>
      <c r="N33" s="46">
        <v>0</v>
      </c>
      <c r="O33" s="47">
        <f t="shared" si="2"/>
        <v>0</v>
      </c>
      <c r="P33" s="25"/>
      <c r="Q33" s="46">
        <v>6709.2699999999995</v>
      </c>
      <c r="R33" s="46">
        <v>0</v>
      </c>
      <c r="S33" s="47">
        <f t="shared" si="3"/>
        <v>0</v>
      </c>
      <c r="T33" s="25"/>
      <c r="U33" s="46">
        <v>6709.2699999999995</v>
      </c>
      <c r="V33" s="46">
        <v>0</v>
      </c>
      <c r="W33" s="47">
        <f t="shared" si="4"/>
        <v>0</v>
      </c>
    </row>
    <row r="34" spans="1:23" s="42" customFormat="1" x14ac:dyDescent="0.3">
      <c r="A34" s="34" t="s">
        <v>26</v>
      </c>
      <c r="B34" s="34"/>
      <c r="C34" s="34"/>
      <c r="D34" s="34"/>
      <c r="E34" s="35" t="str">
        <f>"""NAV 2016"",""CRONUS AG"",""18"",""1"",""32656565"""</f>
        <v>"NAV 2016","CRONUS AG","18","1","32656565"</v>
      </c>
      <c r="F34" s="43" t="str">
        <f>"32656565"</f>
        <v>32656565</v>
      </c>
      <c r="G34" s="44" t="str">
        <f>"Antarcticopy"</f>
        <v>Antarcticopy</v>
      </c>
      <c r="H34" s="44" t="str">
        <f t="shared" si="0"/>
        <v>Antarcticop</v>
      </c>
      <c r="I34" s="44" t="str">
        <f>"PS"</f>
        <v>PS</v>
      </c>
      <c r="J34" s="44" t="str">
        <f>"Peter Schlösser"</f>
        <v>Peter Schlösser</v>
      </c>
      <c r="K34" s="45">
        <f t="shared" si="1"/>
        <v>2.8986995362515519E-2</v>
      </c>
      <c r="L34" s="25"/>
      <c r="M34" s="46">
        <v>4000.25</v>
      </c>
      <c r="N34" s="46">
        <v>0</v>
      </c>
      <c r="O34" s="47">
        <f t="shared" si="2"/>
        <v>0</v>
      </c>
      <c r="P34" s="25"/>
      <c r="Q34" s="46">
        <v>4000.25</v>
      </c>
      <c r="R34" s="46">
        <v>0</v>
      </c>
      <c r="S34" s="47">
        <f t="shared" si="3"/>
        <v>0</v>
      </c>
      <c r="T34" s="25"/>
      <c r="U34" s="46">
        <v>4000.25</v>
      </c>
      <c r="V34" s="46">
        <v>0</v>
      </c>
      <c r="W34" s="47">
        <f t="shared" si="4"/>
        <v>0</v>
      </c>
    </row>
    <row r="35" spans="1:23" s="42" customFormat="1" x14ac:dyDescent="0.3">
      <c r="A35" s="34" t="s">
        <v>26</v>
      </c>
      <c r="B35" s="34"/>
      <c r="C35" s="34"/>
      <c r="D35" s="34"/>
      <c r="E35" s="35" t="str">
        <f>"""NAV 2016"",""CRONUS AG"",""18"",""1"",""35963852"""</f>
        <v>"NAV 2016","CRONUS AG","18","1","35963852"</v>
      </c>
      <c r="F35" s="43" t="str">
        <f>"35963852"</f>
        <v>35963852</v>
      </c>
      <c r="G35" s="44" t="str">
        <f>"Heimilisprydi"</f>
        <v>Heimilisprydi</v>
      </c>
      <c r="H35" s="44" t="str">
        <f t="shared" si="0"/>
        <v>Heimilispry</v>
      </c>
      <c r="I35" s="44" t="str">
        <f>"JR"</f>
        <v>JR</v>
      </c>
      <c r="J35" s="44" t="str">
        <f>"Joachim Richter"</f>
        <v>Joachim Richter</v>
      </c>
      <c r="K35" s="45">
        <f t="shared" si="1"/>
        <v>2.2718079812732522E-2</v>
      </c>
      <c r="L35" s="25"/>
      <c r="M35" s="46">
        <v>3135.1299999999997</v>
      </c>
      <c r="N35" s="46">
        <v>0</v>
      </c>
      <c r="O35" s="47">
        <f t="shared" si="2"/>
        <v>0</v>
      </c>
      <c r="P35" s="25"/>
      <c r="Q35" s="46">
        <v>3135.1299999999997</v>
      </c>
      <c r="R35" s="46">
        <v>0</v>
      </c>
      <c r="S35" s="47">
        <f t="shared" si="3"/>
        <v>0</v>
      </c>
      <c r="T35" s="25"/>
      <c r="U35" s="46">
        <v>3135.1299999999997</v>
      </c>
      <c r="V35" s="46">
        <v>0</v>
      </c>
      <c r="W35" s="47">
        <f t="shared" si="4"/>
        <v>0</v>
      </c>
    </row>
    <row r="36" spans="1:23" s="42" customFormat="1" x14ac:dyDescent="0.3">
      <c r="A36" s="34" t="s">
        <v>26</v>
      </c>
      <c r="B36" s="34"/>
      <c r="C36" s="34"/>
      <c r="D36" s="34"/>
      <c r="E36" s="35" t="str">
        <f>"""NAV 2016"",""CRONUS AG"",""18"",""1"",""42147258"""</f>
        <v>"NAV 2016","CRONUS AG","18","1","42147258"</v>
      </c>
      <c r="F36" s="43" t="str">
        <f>"42147258"</f>
        <v>42147258</v>
      </c>
      <c r="G36" s="44" t="str">
        <f>"BYT-KOMPLET s.r.o."</f>
        <v>BYT-KOMPLET s.r.o.</v>
      </c>
      <c r="H36" s="44" t="str">
        <f t="shared" si="0"/>
        <v>BYT-KOMPLET</v>
      </c>
      <c r="I36" s="44" t="str">
        <f>"JR"</f>
        <v>JR</v>
      </c>
      <c r="J36" s="44" t="str">
        <f>"Joachim Richter"</f>
        <v>Joachim Richter</v>
      </c>
      <c r="K36" s="45">
        <f t="shared" si="1"/>
        <v>1.7992552836729212E-2</v>
      </c>
      <c r="L36" s="25"/>
      <c r="M36" s="46">
        <v>2483</v>
      </c>
      <c r="N36" s="46">
        <v>0</v>
      </c>
      <c r="O36" s="47">
        <f t="shared" si="2"/>
        <v>0</v>
      </c>
      <c r="P36" s="25"/>
      <c r="Q36" s="46">
        <v>2483</v>
      </c>
      <c r="R36" s="46">
        <v>0</v>
      </c>
      <c r="S36" s="47">
        <f t="shared" si="3"/>
        <v>0</v>
      </c>
      <c r="T36" s="25"/>
      <c r="U36" s="46">
        <v>2483</v>
      </c>
      <c r="V36" s="46">
        <v>0</v>
      </c>
      <c r="W36" s="47">
        <f t="shared" si="4"/>
        <v>0</v>
      </c>
    </row>
    <row r="37" spans="1:23" s="42" customFormat="1" x14ac:dyDescent="0.3">
      <c r="A37" s="34" t="s">
        <v>26</v>
      </c>
      <c r="B37" s="34"/>
      <c r="C37" s="34"/>
      <c r="D37" s="34"/>
      <c r="E37" s="35" t="str">
        <f>"""NAV 2016"",""CRONUS AG"",""18"",""1"",""01445544"""</f>
        <v>"NAV 2016","CRONUS AG","18","1","01445544"</v>
      </c>
      <c r="F37" s="43" t="str">
        <f>"01445544"</f>
        <v>01445544</v>
      </c>
      <c r="G37" s="44" t="str">
        <f>"Progressive Home Furnishings"</f>
        <v>Progressive Home Furnishings</v>
      </c>
      <c r="H37" s="44" t="str">
        <f t="shared" si="0"/>
        <v>Progressive</v>
      </c>
      <c r="I37" s="44" t="str">
        <f>"JR"</f>
        <v>JR</v>
      </c>
      <c r="J37" s="44" t="str">
        <f>"Joachim Richter"</f>
        <v>Joachim Richter</v>
      </c>
      <c r="K37" s="45">
        <f t="shared" si="1"/>
        <v>1.6830319429768682E-2</v>
      </c>
      <c r="L37" s="25"/>
      <c r="M37" s="46">
        <v>2322.61</v>
      </c>
      <c r="N37" s="46">
        <v>0</v>
      </c>
      <c r="O37" s="47">
        <f t="shared" si="2"/>
        <v>0</v>
      </c>
      <c r="P37" s="25"/>
      <c r="Q37" s="46">
        <v>2322.61</v>
      </c>
      <c r="R37" s="46">
        <v>0</v>
      </c>
      <c r="S37" s="47">
        <f t="shared" si="3"/>
        <v>0</v>
      </c>
      <c r="T37" s="25"/>
      <c r="U37" s="46">
        <v>2322.61</v>
      </c>
      <c r="V37" s="46">
        <v>0</v>
      </c>
      <c r="W37" s="47">
        <f t="shared" si="4"/>
        <v>0</v>
      </c>
    </row>
    <row r="38" spans="1:23" s="42" customFormat="1" x14ac:dyDescent="0.3">
      <c r="A38" s="34" t="s">
        <v>26</v>
      </c>
      <c r="B38" s="34"/>
      <c r="C38" s="34"/>
      <c r="D38" s="34"/>
      <c r="E38" s="35" t="str">
        <f>"""NAV 2016"",""CRONUS AG"",""18"",""1"",""35451236"""</f>
        <v>"NAV 2016","CRONUS AG","18","1","35451236"</v>
      </c>
      <c r="F38" s="43" t="str">
        <f>"35451236"</f>
        <v>35451236</v>
      </c>
      <c r="G38" s="44" t="str">
        <f>"Gagn &amp; Gaman"</f>
        <v>Gagn &amp; Gaman</v>
      </c>
      <c r="H38" s="44" t="str">
        <f t="shared" si="0"/>
        <v>Gagn &amp; Gama</v>
      </c>
      <c r="I38" s="44" t="str">
        <f>"JR"</f>
        <v>JR</v>
      </c>
      <c r="J38" s="44" t="str">
        <f>"Joachim Richter"</f>
        <v>Joachim Richter</v>
      </c>
      <c r="K38" s="45">
        <f t="shared" si="1"/>
        <v>9.846411858882154E-3</v>
      </c>
      <c r="L38" s="25"/>
      <c r="M38" s="46">
        <v>1358.82</v>
      </c>
      <c r="N38" s="46">
        <v>0</v>
      </c>
      <c r="O38" s="47">
        <f t="shared" si="2"/>
        <v>0</v>
      </c>
      <c r="P38" s="25"/>
      <c r="Q38" s="46">
        <v>1358.82</v>
      </c>
      <c r="R38" s="46">
        <v>0</v>
      </c>
      <c r="S38" s="47">
        <f t="shared" si="3"/>
        <v>0</v>
      </c>
      <c r="T38" s="25"/>
      <c r="U38" s="46">
        <v>1358.82</v>
      </c>
      <c r="V38" s="46">
        <v>0</v>
      </c>
      <c r="W38" s="47">
        <f t="shared" si="4"/>
        <v>0</v>
      </c>
    </row>
    <row r="39" spans="1:23" s="42" customFormat="1" x14ac:dyDescent="0.3">
      <c r="A39" s="34" t="s">
        <v>26</v>
      </c>
      <c r="B39" s="34"/>
      <c r="C39" s="34"/>
      <c r="D39" s="34"/>
      <c r="E39" s="35" t="str">
        <f>"""NAV 2016"",""CRONUS AG"",""18"",""1"",""46897889"""</f>
        <v>"NAV 2016","CRONUS AG","18","1","46897889"</v>
      </c>
      <c r="F39" s="43" t="str">
        <f>"46897889"</f>
        <v>46897889</v>
      </c>
      <c r="G39" s="44" t="str">
        <f>"Englunds Kontorsmöbler AB"</f>
        <v>Englunds Kontorsmöbler AB</v>
      </c>
      <c r="H39" s="44" t="str">
        <f t="shared" si="0"/>
        <v>Englunds Ko</v>
      </c>
      <c r="I39" s="44" t="str">
        <f>"JR"</f>
        <v>JR</v>
      </c>
      <c r="J39" s="44" t="str">
        <f>"Joachim Richter"</f>
        <v>Joachim Richter</v>
      </c>
      <c r="K39" s="45">
        <f t="shared" si="1"/>
        <v>7.5617996726703189E-3</v>
      </c>
      <c r="L39" s="25"/>
      <c r="M39" s="46">
        <v>1043.54</v>
      </c>
      <c r="N39" s="46">
        <v>0</v>
      </c>
      <c r="O39" s="47">
        <f t="shared" si="2"/>
        <v>0</v>
      </c>
      <c r="P39" s="25"/>
      <c r="Q39" s="46">
        <v>1043.54</v>
      </c>
      <c r="R39" s="46">
        <v>0</v>
      </c>
      <c r="S39" s="47">
        <f t="shared" si="3"/>
        <v>0</v>
      </c>
      <c r="T39" s="25"/>
      <c r="U39" s="46">
        <v>1043.54</v>
      </c>
      <c r="V39" s="46">
        <v>0</v>
      </c>
      <c r="W39" s="47">
        <f t="shared" si="4"/>
        <v>0</v>
      </c>
    </row>
    <row r="40" spans="1:23" s="42" customFormat="1" x14ac:dyDescent="0.3">
      <c r="A40" s="34" t="s">
        <v>26</v>
      </c>
      <c r="B40" s="34"/>
      <c r="C40" s="34"/>
      <c r="D40" s="34"/>
      <c r="E40" s="35" t="str">
        <f>"""NAV 2016"",""CRONUS AG"",""18"",""1"",""01121212"""</f>
        <v>"NAV 2016","CRONUS AG","18","1","01121212"</v>
      </c>
      <c r="F40" s="43" t="str">
        <f>"01121212"</f>
        <v>01121212</v>
      </c>
      <c r="G40" s="44" t="str">
        <f>"Spotsmeyer's Furnishings"</f>
        <v>Spotsmeyer's Furnishings</v>
      </c>
      <c r="H40" s="44" t="str">
        <f t="shared" si="0"/>
        <v>Spotsmeyer'</v>
      </c>
      <c r="I40" s="44" t="str">
        <f>"JR"</f>
        <v>JR</v>
      </c>
      <c r="J40" s="44" t="str">
        <f>"Joachim Richter"</f>
        <v>Joachim Richter</v>
      </c>
      <c r="K40" s="45">
        <f t="shared" si="1"/>
        <v>0</v>
      </c>
      <c r="L40" s="25"/>
      <c r="M40" s="46">
        <v>0</v>
      </c>
      <c r="N40" s="46">
        <v>0</v>
      </c>
      <c r="O40" s="47">
        <f t="shared" si="2"/>
        <v>0</v>
      </c>
      <c r="P40" s="25"/>
      <c r="Q40" s="46">
        <v>0</v>
      </c>
      <c r="R40" s="46">
        <v>0</v>
      </c>
      <c r="S40" s="47">
        <f t="shared" si="3"/>
        <v>0</v>
      </c>
      <c r="T40" s="25"/>
      <c r="U40" s="46">
        <v>0</v>
      </c>
      <c r="V40" s="46">
        <v>0</v>
      </c>
      <c r="W40" s="47">
        <f t="shared" si="4"/>
        <v>0</v>
      </c>
    </row>
    <row r="41" spans="1:23" s="42" customFormat="1" x14ac:dyDescent="0.3">
      <c r="A41" s="34" t="s">
        <v>26</v>
      </c>
      <c r="B41" s="34"/>
      <c r="C41" s="34"/>
      <c r="D41" s="34"/>
      <c r="E41" s="35" t="str">
        <f>"""NAV 2016"",""CRONUS AG"",""18"",""1"",""01454545"""</f>
        <v>"NAV 2016","CRONUS AG","18","1","01454545"</v>
      </c>
      <c r="F41" s="43" t="str">
        <f>"01454545"</f>
        <v>01454545</v>
      </c>
      <c r="G41" s="44" t="str">
        <f>"New Concepts Furniture"</f>
        <v>New Concepts Furniture</v>
      </c>
      <c r="H41" s="44" t="str">
        <f t="shared" si="0"/>
        <v>New Concept</v>
      </c>
      <c r="I41" s="44" t="str">
        <f>"JR"</f>
        <v>JR</v>
      </c>
      <c r="J41" s="44" t="str">
        <f>"Joachim Richter"</f>
        <v>Joachim Richter</v>
      </c>
      <c r="K41" s="45">
        <f t="shared" si="1"/>
        <v>0</v>
      </c>
      <c r="L41" s="25"/>
      <c r="M41" s="46">
        <v>0</v>
      </c>
      <c r="N41" s="46">
        <v>0</v>
      </c>
      <c r="O41" s="47">
        <f t="shared" si="2"/>
        <v>0</v>
      </c>
      <c r="P41" s="25"/>
      <c r="Q41" s="46">
        <v>0</v>
      </c>
      <c r="R41" s="46">
        <v>0</v>
      </c>
      <c r="S41" s="47">
        <f t="shared" si="3"/>
        <v>0</v>
      </c>
      <c r="T41" s="25"/>
      <c r="U41" s="46">
        <v>0</v>
      </c>
      <c r="V41" s="46">
        <v>0</v>
      </c>
      <c r="W41" s="47">
        <f t="shared" si="4"/>
        <v>0</v>
      </c>
    </row>
    <row r="42" spans="1:23" s="42" customFormat="1" x14ac:dyDescent="0.3">
      <c r="A42" s="34" t="s">
        <v>26</v>
      </c>
      <c r="B42" s="34"/>
      <c r="C42" s="34"/>
      <c r="D42" s="34"/>
      <c r="E42" s="35" t="str">
        <f>"""NAV 2016"",""CRONUS AG"",""18"",""1"",""01905893"""</f>
        <v>"NAV 2016","CRONUS AG","18","1","01905893"</v>
      </c>
      <c r="F42" s="43" t="str">
        <f>"01905893"</f>
        <v>01905893</v>
      </c>
      <c r="G42" s="44" t="str">
        <f>"Candoxy Canada Inc."</f>
        <v>Candoxy Canada Inc.</v>
      </c>
      <c r="H42" s="44" t="str">
        <f t="shared" si="0"/>
        <v>Candoxy Can</v>
      </c>
      <c r="I42" s="44" t="str">
        <f>"JR"</f>
        <v>JR</v>
      </c>
      <c r="J42" s="44" t="str">
        <f>"Joachim Richter"</f>
        <v>Joachim Richter</v>
      </c>
      <c r="K42" s="45">
        <f t="shared" si="1"/>
        <v>0</v>
      </c>
      <c r="L42" s="25"/>
      <c r="M42" s="46">
        <v>0</v>
      </c>
      <c r="N42" s="46">
        <v>0</v>
      </c>
      <c r="O42" s="47">
        <f t="shared" si="2"/>
        <v>0</v>
      </c>
      <c r="P42" s="25"/>
      <c r="Q42" s="46">
        <v>0</v>
      </c>
      <c r="R42" s="46">
        <v>0</v>
      </c>
      <c r="S42" s="47">
        <f t="shared" si="3"/>
        <v>0</v>
      </c>
      <c r="T42" s="25"/>
      <c r="U42" s="46">
        <v>0</v>
      </c>
      <c r="V42" s="46">
        <v>0</v>
      </c>
      <c r="W42" s="47">
        <f t="shared" si="4"/>
        <v>0</v>
      </c>
    </row>
    <row r="43" spans="1:23" s="42" customFormat="1" x14ac:dyDescent="0.3">
      <c r="A43" s="34" t="s">
        <v>26</v>
      </c>
      <c r="B43" s="34"/>
      <c r="C43" s="34"/>
      <c r="D43" s="34"/>
      <c r="E43" s="35" t="str">
        <f>"""NAV 2016"",""CRONUS AG"",""18"",""1"",""01905899"""</f>
        <v>"NAV 2016","CRONUS AG","18","1","01905899"</v>
      </c>
      <c r="F43" s="43" t="str">
        <f>"01905899"</f>
        <v>01905899</v>
      </c>
      <c r="G43" s="44" t="str">
        <f>"Elkhorn Airport"</f>
        <v>Elkhorn Airport</v>
      </c>
      <c r="H43" s="44" t="str">
        <f t="shared" si="0"/>
        <v>Elkhorn Air</v>
      </c>
      <c r="I43" s="44" t="str">
        <f>"JR"</f>
        <v>JR</v>
      </c>
      <c r="J43" s="44" t="str">
        <f>"Joachim Richter"</f>
        <v>Joachim Richter</v>
      </c>
      <c r="K43" s="45">
        <f t="shared" si="1"/>
        <v>0</v>
      </c>
      <c r="L43" s="25"/>
      <c r="M43" s="46">
        <v>0</v>
      </c>
      <c r="N43" s="46">
        <v>0</v>
      </c>
      <c r="O43" s="47">
        <f t="shared" si="2"/>
        <v>0</v>
      </c>
      <c r="P43" s="25"/>
      <c r="Q43" s="46">
        <v>0</v>
      </c>
      <c r="R43" s="46">
        <v>0</v>
      </c>
      <c r="S43" s="47">
        <f t="shared" si="3"/>
        <v>0</v>
      </c>
      <c r="T43" s="25"/>
      <c r="U43" s="46">
        <v>0</v>
      </c>
      <c r="V43" s="46">
        <v>0</v>
      </c>
      <c r="W43" s="47">
        <f t="shared" si="4"/>
        <v>0</v>
      </c>
    </row>
    <row r="44" spans="1:23" s="42" customFormat="1" x14ac:dyDescent="0.3">
      <c r="A44" s="34" t="s">
        <v>26</v>
      </c>
      <c r="B44" s="34"/>
      <c r="C44" s="34"/>
      <c r="D44" s="34"/>
      <c r="E44" s="35" t="str">
        <f>"""NAV 2016"",""CRONUS AG"",""18"",""1"",""01905902"""</f>
        <v>"NAV 2016","CRONUS AG","18","1","01905902"</v>
      </c>
      <c r="F44" s="43" t="str">
        <f>"01905902"</f>
        <v>01905902</v>
      </c>
      <c r="G44" s="44" t="str">
        <f>"London Candoxy Storage Campus"</f>
        <v>London Candoxy Storage Campus</v>
      </c>
      <c r="H44" s="44" t="str">
        <f t="shared" si="0"/>
        <v>London Cand</v>
      </c>
      <c r="I44" s="44" t="str">
        <f>"JR"</f>
        <v>JR</v>
      </c>
      <c r="J44" s="44" t="str">
        <f>"Joachim Richter"</f>
        <v>Joachim Richter</v>
      </c>
      <c r="K44" s="45">
        <f t="shared" si="1"/>
        <v>0</v>
      </c>
      <c r="L44" s="25"/>
      <c r="M44" s="46">
        <v>0</v>
      </c>
      <c r="N44" s="46">
        <v>0</v>
      </c>
      <c r="O44" s="47">
        <f t="shared" si="2"/>
        <v>0</v>
      </c>
      <c r="P44" s="25"/>
      <c r="Q44" s="46">
        <v>0</v>
      </c>
      <c r="R44" s="46">
        <v>0</v>
      </c>
      <c r="S44" s="47">
        <f t="shared" si="3"/>
        <v>0</v>
      </c>
      <c r="T44" s="25"/>
      <c r="U44" s="46">
        <v>0</v>
      </c>
      <c r="V44" s="46">
        <v>0</v>
      </c>
      <c r="W44" s="47">
        <f t="shared" si="4"/>
        <v>0</v>
      </c>
    </row>
    <row r="45" spans="1:23" s="42" customFormat="1" x14ac:dyDescent="0.3">
      <c r="A45" s="34" t="s">
        <v>26</v>
      </c>
      <c r="B45" s="34"/>
      <c r="C45" s="34"/>
      <c r="D45" s="34"/>
      <c r="E45" s="35" t="str">
        <f>"""NAV 2016"",""CRONUS AG"",""18"",""1"",""20309920"""</f>
        <v>"NAV 2016","CRONUS AG","18","1","20309920"</v>
      </c>
      <c r="F45" s="43" t="str">
        <f>"20309920"</f>
        <v>20309920</v>
      </c>
      <c r="G45" s="44" t="str">
        <f>"Metatorad Malaysia Sdn Bhd"</f>
        <v>Metatorad Malaysia Sdn Bhd</v>
      </c>
      <c r="H45" s="44" t="str">
        <f t="shared" si="0"/>
        <v>Metatorad M</v>
      </c>
      <c r="I45" s="44" t="str">
        <f>"JR"</f>
        <v>JR</v>
      </c>
      <c r="J45" s="44" t="str">
        <f>"Joachim Richter"</f>
        <v>Joachim Richter</v>
      </c>
      <c r="K45" s="45">
        <f t="shared" si="1"/>
        <v>0</v>
      </c>
      <c r="L45" s="25"/>
      <c r="M45" s="46">
        <v>0</v>
      </c>
      <c r="N45" s="46">
        <v>0</v>
      </c>
      <c r="O45" s="47">
        <f t="shared" si="2"/>
        <v>0</v>
      </c>
      <c r="P45" s="25"/>
      <c r="Q45" s="46">
        <v>0</v>
      </c>
      <c r="R45" s="46">
        <v>0</v>
      </c>
      <c r="S45" s="47">
        <f t="shared" si="3"/>
        <v>0</v>
      </c>
      <c r="T45" s="25"/>
      <c r="U45" s="46">
        <v>0</v>
      </c>
      <c r="V45" s="46">
        <v>0</v>
      </c>
      <c r="W45" s="47">
        <f t="shared" si="4"/>
        <v>0</v>
      </c>
    </row>
    <row r="46" spans="1:23" hidden="1" x14ac:dyDescent="0.3">
      <c r="A46" s="8" t="s">
        <v>22</v>
      </c>
      <c r="F46" s="48" t="s">
        <v>27</v>
      </c>
      <c r="H46" s="44" t="str">
        <f>LEFT(G46,11)</f>
        <v/>
      </c>
      <c r="M46" s="49"/>
      <c r="N46" s="49"/>
      <c r="O46" s="50"/>
      <c r="P46" s="25"/>
      <c r="Q46" s="49"/>
      <c r="R46" s="49"/>
      <c r="S46" s="50"/>
      <c r="T46" s="25"/>
      <c r="U46" s="51">
        <v>0</v>
      </c>
      <c r="V46" s="49"/>
      <c r="W46" s="50"/>
    </row>
    <row r="47" spans="1:23" x14ac:dyDescent="0.3">
      <c r="F47" s="48"/>
      <c r="M47" s="49"/>
      <c r="N47" s="49"/>
      <c r="O47" s="50"/>
      <c r="P47" s="25"/>
      <c r="Q47" s="49"/>
      <c r="R47" s="49"/>
      <c r="S47" s="50"/>
      <c r="T47" s="25"/>
      <c r="U47" s="51"/>
      <c r="V47" s="49"/>
      <c r="W47" s="50"/>
    </row>
    <row r="48" spans="1:23" x14ac:dyDescent="0.3">
      <c r="J48" s="52" t="str">
        <f>"Top "&amp;$C$3&amp;" Gesamtumsatz:"</f>
        <v>Top 20 Gesamtumsatz:</v>
      </c>
      <c r="K48" s="53">
        <f>IF(ISERROR(U48/$U$52),0,U48/$U$52)</f>
        <v>1</v>
      </c>
      <c r="M48" s="54">
        <f>SUBTOTAL(9,M26:M47)</f>
        <v>138001.54</v>
      </c>
      <c r="N48" s="55"/>
      <c r="O48" s="56"/>
      <c r="P48" s="25"/>
      <c r="Q48" s="54">
        <f>SUBTOTAL(9,Q26:Q47)</f>
        <v>138001.54</v>
      </c>
      <c r="R48" s="54"/>
      <c r="S48" s="56"/>
      <c r="T48" s="25"/>
      <c r="U48" s="54">
        <f>SUBTOTAL(9,U26:U47)</f>
        <v>138001.54</v>
      </c>
      <c r="V48" s="57"/>
      <c r="W48" s="58"/>
    </row>
    <row r="49" spans="6:23" ht="7.5" customHeight="1" x14ac:dyDescent="0.3">
      <c r="F49" s="37"/>
      <c r="G49" s="37"/>
      <c r="H49" s="37"/>
      <c r="I49" s="37"/>
      <c r="J49" s="59"/>
      <c r="K49" s="38"/>
      <c r="M49" s="60"/>
      <c r="N49" s="60"/>
      <c r="O49" s="61"/>
      <c r="P49" s="25"/>
      <c r="Q49" s="60"/>
      <c r="R49" s="60"/>
      <c r="S49" s="61"/>
      <c r="T49" s="25"/>
      <c r="U49" s="62"/>
      <c r="V49" s="62"/>
      <c r="W49" s="63"/>
    </row>
    <row r="50" spans="6:23" x14ac:dyDescent="0.3">
      <c r="J50" s="64" t="s">
        <v>503</v>
      </c>
      <c r="K50" s="38">
        <f>IF(ISERROR(U50/$U$52),0,U50/$U$52)</f>
        <v>0</v>
      </c>
      <c r="M50" s="62">
        <v>0</v>
      </c>
      <c r="N50" s="65"/>
      <c r="O50" s="66"/>
      <c r="P50" s="25"/>
      <c r="Q50" s="62">
        <v>0</v>
      </c>
      <c r="R50" s="62"/>
      <c r="S50" s="66"/>
      <c r="T50" s="25"/>
      <c r="U50" s="62">
        <v>0</v>
      </c>
      <c r="V50" s="46"/>
      <c r="W50" s="66"/>
    </row>
    <row r="51" spans="6:23" ht="6.75" customHeight="1" x14ac:dyDescent="0.3">
      <c r="J51" s="64"/>
      <c r="K51" s="67"/>
      <c r="M51" s="68"/>
      <c r="N51" s="68"/>
      <c r="O51" s="69"/>
      <c r="P51" s="25"/>
      <c r="Q51" s="68"/>
      <c r="R51" s="68"/>
      <c r="S51" s="69"/>
      <c r="T51" s="25"/>
      <c r="U51" s="70"/>
      <c r="V51" s="70"/>
      <c r="W51" s="69"/>
    </row>
    <row r="52" spans="6:23" ht="14.4" thickBot="1" x14ac:dyDescent="0.35">
      <c r="J52" s="64" t="s">
        <v>502</v>
      </c>
      <c r="K52" s="71">
        <f>IF(ISERROR(U52/$U$52),0,U52/$U$52)</f>
        <v>1</v>
      </c>
      <c r="M52" s="72">
        <f>SUM(M48:M51)</f>
        <v>138001.54</v>
      </c>
      <c r="N52" s="73"/>
      <c r="O52" s="74"/>
      <c r="P52" s="25"/>
      <c r="Q52" s="72">
        <f>SUM(Q48:Q51)</f>
        <v>138001.54</v>
      </c>
      <c r="R52" s="73"/>
      <c r="S52" s="74"/>
      <c r="T52" s="25"/>
      <c r="U52" s="72">
        <f>SUM(U48:U51)</f>
        <v>138001.54</v>
      </c>
      <c r="V52" s="75"/>
      <c r="W52" s="74"/>
    </row>
    <row r="53" spans="6:23" ht="14.4" thickTop="1" x14ac:dyDescent="0.3">
      <c r="K53" s="67"/>
      <c r="P53" s="25"/>
      <c r="T53" s="25"/>
    </row>
  </sheetData>
  <mergeCells count="5">
    <mergeCell ref="F10:G10"/>
    <mergeCell ref="F11:G11"/>
    <mergeCell ref="M23:O23"/>
    <mergeCell ref="Q23:S23"/>
    <mergeCell ref="U23:W23"/>
  </mergeCells>
  <phoneticPr fontId="3" type="noConversion"/>
  <conditionalFormatting sqref="F26:W26">
    <cfRule type="expression" dxfId="2" priority="100">
      <formula>MOD(ROW(),2)=0</formula>
    </cfRule>
  </conditionalFormatting>
  <conditionalFormatting sqref="O46:O47">
    <cfRule type="iconSet" priority="186">
      <iconSet iconSet="5Arrows">
        <cfvo type="percent" val="0"/>
        <cfvo type="num" val="-0.2"/>
        <cfvo type="num" val="-0.1"/>
        <cfvo type="num" val="0.1"/>
        <cfvo type="num" val="0.2"/>
      </iconSet>
    </cfRule>
  </conditionalFormatting>
  <conditionalFormatting sqref="S46:S47">
    <cfRule type="iconSet" priority="188">
      <iconSet iconSet="5Arrows">
        <cfvo type="percent" val="0"/>
        <cfvo type="num" val="-0.2"/>
        <cfvo type="num" val="-0.1"/>
        <cfvo type="num" val="0.1"/>
        <cfvo type="num" val="0.2"/>
      </iconSet>
    </cfRule>
  </conditionalFormatting>
  <conditionalFormatting sqref="W46:W47">
    <cfRule type="iconSet" priority="190">
      <iconSet iconSet="5Arrows">
        <cfvo type="percent" val="0"/>
        <cfvo type="num" val="-0.2"/>
        <cfvo type="num" val="-0.1"/>
        <cfvo type="num" val="0.1"/>
        <cfvo type="num" val="0.2"/>
      </iconSet>
    </cfRule>
  </conditionalFormatting>
  <conditionalFormatting sqref="H46">
    <cfRule type="expression" dxfId="1" priority="91">
      <formula>MOD(ROW(),2)=0</formula>
    </cfRule>
  </conditionalFormatting>
  <conditionalFormatting sqref="M46:M47 M26">
    <cfRule type="dataBar" priority="277">
      <dataBar>
        <cfvo type="min"/>
        <cfvo type="max"/>
        <color rgb="FF638EC6"/>
      </dataBar>
    </cfRule>
  </conditionalFormatting>
  <conditionalFormatting sqref="Q46:Q47 Q26">
    <cfRule type="dataBar" priority="279">
      <dataBar>
        <cfvo type="min"/>
        <cfvo type="max"/>
        <color rgb="FF638EC6"/>
      </dataBar>
    </cfRule>
  </conditionalFormatting>
  <conditionalFormatting sqref="F27:W45">
    <cfRule type="expression" dxfId="0" priority="1">
      <formula>MOD(ROW(),2)=0</formula>
    </cfRule>
  </conditionalFormatting>
  <conditionalFormatting sqref="M27:M45">
    <cfRule type="dataBar" priority="2">
      <dataBar>
        <cfvo type="min"/>
        <cfvo type="max"/>
        <color rgb="FF638EC6"/>
      </dataBar>
    </cfRule>
  </conditionalFormatting>
  <conditionalFormatting sqref="Q27:Q45">
    <cfRule type="dataBar" priority="3">
      <dataBar>
        <cfvo type="min"/>
        <cfvo type="max"/>
        <color rgb="FF638EC6"/>
      </dataBar>
    </cfRule>
  </conditionalFormatting>
  <pageMargins left="0.75" right="0.75" top="1" bottom="1" header="0.5" footer="0.5"/>
  <pageSetup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opLeftCell="B2" zoomScale="95" zoomScaleNormal="95" workbookViewId="0">
      <selection activeCell="B30" sqref="B30"/>
    </sheetView>
  </sheetViews>
  <sheetFormatPr baseColWidth="10" defaultColWidth="9.109375" defaultRowHeight="13.2" x14ac:dyDescent="0.25"/>
  <cols>
    <col min="1" max="1" width="9.109375" style="2" hidden="1" customWidth="1"/>
    <col min="2" max="3" width="9.109375" style="2"/>
    <col min="4" max="4" width="32.6640625" style="3" bestFit="1" customWidth="1"/>
    <col min="5" max="5" width="75" style="4" customWidth="1"/>
    <col min="6" max="16384" width="9.109375" style="2"/>
  </cols>
  <sheetData>
    <row r="1" spans="1:7" hidden="1" x14ac:dyDescent="0.25">
      <c r="A1" s="2" t="s">
        <v>0</v>
      </c>
    </row>
    <row r="5" spans="1:7" ht="24.6" x14ac:dyDescent="0.25">
      <c r="D5" s="7" t="s">
        <v>1</v>
      </c>
    </row>
    <row r="6" spans="1:7" ht="13.5" customHeight="1" x14ac:dyDescent="0.25"/>
    <row r="7" spans="1:7" ht="13.5" customHeight="1" x14ac:dyDescent="0.25"/>
    <row r="8" spans="1:7" ht="15" x14ac:dyDescent="0.25">
      <c r="D8" s="76" t="s">
        <v>2</v>
      </c>
      <c r="E8" s="77" t="s">
        <v>13</v>
      </c>
    </row>
    <row r="9" spans="1:7" ht="15" x14ac:dyDescent="0.25">
      <c r="D9" s="76"/>
      <c r="E9" s="77"/>
    </row>
    <row r="10" spans="1:7" ht="15" x14ac:dyDescent="0.25">
      <c r="D10" s="76"/>
      <c r="E10" s="77"/>
    </row>
    <row r="11" spans="1:7" ht="45" x14ac:dyDescent="0.25">
      <c r="D11" s="76" t="s">
        <v>3</v>
      </c>
      <c r="E11" s="77" t="s">
        <v>4</v>
      </c>
    </row>
    <row r="12" spans="1:7" x14ac:dyDescent="0.25">
      <c r="D12" s="5"/>
      <c r="E12" s="6"/>
    </row>
    <row r="13" spans="1:7" ht="45" x14ac:dyDescent="0.35">
      <c r="D13" s="76" t="s">
        <v>5</v>
      </c>
      <c r="E13" s="77" t="s">
        <v>392</v>
      </c>
      <c r="F13" s="78" t="s">
        <v>393</v>
      </c>
      <c r="G13" s="79"/>
    </row>
    <row r="14" spans="1:7" ht="15" x14ac:dyDescent="0.35">
      <c r="D14" s="80"/>
      <c r="E14" s="81"/>
      <c r="F14" s="82"/>
      <c r="G14" s="79"/>
    </row>
    <row r="15" spans="1:7" ht="30" x14ac:dyDescent="0.35">
      <c r="D15" s="80" t="s">
        <v>7</v>
      </c>
      <c r="E15" s="81" t="s">
        <v>394</v>
      </c>
      <c r="F15" s="78" t="s">
        <v>6</v>
      </c>
      <c r="G15" s="79"/>
    </row>
    <row r="16" spans="1:7" ht="15" x14ac:dyDescent="0.35">
      <c r="D16" s="80"/>
      <c r="E16" s="81"/>
      <c r="F16" s="78"/>
      <c r="G16" s="79"/>
    </row>
    <row r="17" spans="4:7" ht="30" x14ac:dyDescent="0.35">
      <c r="D17" s="83" t="s">
        <v>395</v>
      </c>
      <c r="E17" s="81" t="s">
        <v>396</v>
      </c>
      <c r="F17" s="78" t="s">
        <v>397</v>
      </c>
      <c r="G17" s="79"/>
    </row>
    <row r="18" spans="4:7" ht="15" x14ac:dyDescent="0.35">
      <c r="D18" s="80"/>
      <c r="E18" s="81"/>
      <c r="F18" s="78"/>
      <c r="G18" s="79"/>
    </row>
    <row r="19" spans="4:7" ht="15" x14ac:dyDescent="0.35">
      <c r="D19" s="80"/>
      <c r="E19" s="81"/>
      <c r="F19" s="82"/>
      <c r="G19" s="79"/>
    </row>
    <row r="20" spans="4:7" ht="30" x14ac:dyDescent="0.35">
      <c r="D20" s="80" t="s">
        <v>8</v>
      </c>
      <c r="E20" s="81" t="s">
        <v>29</v>
      </c>
      <c r="F20" s="78" t="s">
        <v>398</v>
      </c>
      <c r="G20" s="79"/>
    </row>
    <row r="21" spans="4:7" ht="15" x14ac:dyDescent="0.35">
      <c r="D21" s="80"/>
      <c r="E21" s="81"/>
      <c r="F21" s="82"/>
      <c r="G21" s="79"/>
    </row>
    <row r="22" spans="4:7" ht="15" x14ac:dyDescent="0.35">
      <c r="D22" s="80" t="s">
        <v>9</v>
      </c>
      <c r="E22" s="81" t="s">
        <v>399</v>
      </c>
      <c r="F22" s="78" t="s">
        <v>400</v>
      </c>
      <c r="G22" s="79"/>
    </row>
    <row r="23" spans="4:7" ht="15" x14ac:dyDescent="0.35">
      <c r="D23" s="80"/>
      <c r="E23" s="81"/>
      <c r="F23" s="82"/>
      <c r="G23" s="79"/>
    </row>
    <row r="24" spans="4:7" ht="15" x14ac:dyDescent="0.35">
      <c r="D24" s="80" t="s">
        <v>10</v>
      </c>
      <c r="E24" s="84" t="s">
        <v>11</v>
      </c>
      <c r="F24" s="78" t="s">
        <v>401</v>
      </c>
      <c r="G24" s="79"/>
    </row>
    <row r="25" spans="4:7" ht="15" x14ac:dyDescent="0.35">
      <c r="D25" s="76"/>
      <c r="E25" s="77"/>
      <c r="F25" s="79"/>
      <c r="G25" s="79"/>
    </row>
    <row r="26" spans="4:7" ht="15" x14ac:dyDescent="0.35">
      <c r="D26" s="76"/>
      <c r="E26" s="77"/>
      <c r="F26" s="79"/>
      <c r="G26" s="79"/>
    </row>
    <row r="27" spans="4:7" ht="75" x14ac:dyDescent="0.35">
      <c r="D27" s="76" t="s">
        <v>402</v>
      </c>
      <c r="E27" s="77" t="s">
        <v>403</v>
      </c>
      <c r="F27" s="85"/>
      <c r="G27" s="79"/>
    </row>
    <row r="29" spans="4:7" ht="15" x14ac:dyDescent="0.25">
      <c r="D29" s="76" t="s">
        <v>12</v>
      </c>
      <c r="E29" s="77" t="s">
        <v>404</v>
      </c>
    </row>
  </sheetData>
  <phoneticPr fontId="3" type="noConversion"/>
  <hyperlinks>
    <hyperlink ref="F22" r:id="rId1" display="Click here to go to Jet reports homepage"/>
    <hyperlink ref="F20" r:id="rId2" display="mailto:services@jetreports.com"/>
    <hyperlink ref="F15" r:id="rId3"/>
    <hyperlink ref="F17" r:id="rId4"/>
    <hyperlink ref="F13" r:id="rId5" display="http://www.jetreports.com/download/download.php"/>
    <hyperlink ref="F24" r:id="rId6"/>
  </hyperlinks>
  <pageMargins left="0.75" right="0.75" top="1" bottom="1" header="0.5" footer="0.5"/>
  <pageSetup scale="79" orientation="landscape" r:id="rId7"/>
  <headerFooter alignWithMargins="0"/>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RowHeight="13.2" x14ac:dyDescent="0.25"/>
  <sheetData>
    <row r="1" spans="1:5" x14ac:dyDescent="0.25">
      <c r="A1" s="1" t="s">
        <v>508</v>
      </c>
      <c r="C1" s="1" t="s">
        <v>17</v>
      </c>
      <c r="D1" s="1" t="s">
        <v>16</v>
      </c>
      <c r="E1" s="1" t="s">
        <v>14</v>
      </c>
    </row>
    <row r="4" spans="1:5" x14ac:dyDescent="0.25">
      <c r="A4" s="1" t="s">
        <v>18</v>
      </c>
      <c r="C4" s="1" t="s">
        <v>24</v>
      </c>
      <c r="D4" s="1" t="s">
        <v>45</v>
      </c>
    </row>
    <row r="5" spans="1:5" x14ac:dyDescent="0.25">
      <c r="A5" s="1" t="s">
        <v>18</v>
      </c>
      <c r="C5" s="1" t="s">
        <v>25</v>
      </c>
      <c r="D5" s="1" t="s">
        <v>406</v>
      </c>
    </row>
    <row r="6" spans="1:5" x14ac:dyDescent="0.25">
      <c r="A6" s="1" t="s">
        <v>18</v>
      </c>
      <c r="C6" s="1" t="s">
        <v>30</v>
      </c>
      <c r="D6" s="1" t="s">
        <v>15</v>
      </c>
    </row>
    <row r="7" spans="1:5" x14ac:dyDescent="0.25">
      <c r="A7" s="1" t="s">
        <v>18</v>
      </c>
      <c r="C7" s="1" t="s">
        <v>31</v>
      </c>
      <c r="D7" s="1" t="s">
        <v>15</v>
      </c>
      <c r="E7" s="1" t="s">
        <v>47</v>
      </c>
    </row>
    <row r="8" spans="1:5" x14ac:dyDescent="0.25">
      <c r="A8" s="1" t="s">
        <v>18</v>
      </c>
      <c r="C8" s="1" t="s">
        <v>19</v>
      </c>
      <c r="D8" s="1" t="s">
        <v>15</v>
      </c>
      <c r="E8" s="1" t="s">
        <v>48</v>
      </c>
    </row>
    <row r="9" spans="1:5" x14ac:dyDescent="0.25">
      <c r="A9" s="1" t="s">
        <v>18</v>
      </c>
      <c r="C9" s="1" t="s">
        <v>20</v>
      </c>
      <c r="D9" s="1" t="s">
        <v>15</v>
      </c>
      <c r="E9" s="1" t="s">
        <v>49</v>
      </c>
    </row>
    <row r="10" spans="1:5" x14ac:dyDescent="0.25">
      <c r="A10" s="1" t="s">
        <v>18</v>
      </c>
      <c r="C10" s="1" t="s">
        <v>33</v>
      </c>
      <c r="D10" s="1" t="s">
        <v>505</v>
      </c>
      <c r="E10" s="1" t="s">
        <v>50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RowHeight="13.2" x14ac:dyDescent="0.25"/>
  <sheetData>
    <row r="1" spans="1:5" x14ac:dyDescent="0.25">
      <c r="A1" s="1" t="s">
        <v>508</v>
      </c>
      <c r="C1" s="1" t="s">
        <v>17</v>
      </c>
      <c r="D1" s="1" t="s">
        <v>16</v>
      </c>
      <c r="E1" s="1" t="s">
        <v>14</v>
      </c>
    </row>
    <row r="4" spans="1:5" x14ac:dyDescent="0.25">
      <c r="A4" s="1" t="s">
        <v>18</v>
      </c>
      <c r="C4" s="1" t="s">
        <v>24</v>
      </c>
      <c r="D4" s="1" t="s">
        <v>45</v>
      </c>
    </row>
    <row r="5" spans="1:5" x14ac:dyDescent="0.25">
      <c r="A5" s="1" t="s">
        <v>18</v>
      </c>
      <c r="C5" s="1" t="s">
        <v>25</v>
      </c>
      <c r="D5" s="1" t="s">
        <v>406</v>
      </c>
    </row>
    <row r="6" spans="1:5" x14ac:dyDescent="0.25">
      <c r="A6" s="1" t="s">
        <v>18</v>
      </c>
      <c r="C6" s="1" t="s">
        <v>30</v>
      </c>
      <c r="D6" s="1" t="s">
        <v>15</v>
      </c>
    </row>
    <row r="7" spans="1:5" x14ac:dyDescent="0.25">
      <c r="A7" s="1" t="s">
        <v>18</v>
      </c>
      <c r="C7" s="1" t="s">
        <v>31</v>
      </c>
      <c r="D7" s="1" t="s">
        <v>15</v>
      </c>
      <c r="E7" s="1" t="s">
        <v>407</v>
      </c>
    </row>
    <row r="8" spans="1:5" x14ac:dyDescent="0.25">
      <c r="A8" s="1" t="s">
        <v>18</v>
      </c>
      <c r="C8" s="1" t="s">
        <v>19</v>
      </c>
      <c r="D8" s="1" t="s">
        <v>15</v>
      </c>
      <c r="E8" s="1" t="s">
        <v>408</v>
      </c>
    </row>
    <row r="9" spans="1:5" x14ac:dyDescent="0.25">
      <c r="A9" s="1" t="s">
        <v>18</v>
      </c>
      <c r="C9" s="1" t="s">
        <v>20</v>
      </c>
      <c r="D9" s="1" t="s">
        <v>15</v>
      </c>
      <c r="E9" s="1" t="s">
        <v>409</v>
      </c>
    </row>
    <row r="10" spans="1:5" x14ac:dyDescent="0.25">
      <c r="A10" s="1" t="s">
        <v>18</v>
      </c>
      <c r="C10" s="1" t="s">
        <v>33</v>
      </c>
      <c r="D10" s="1" t="s">
        <v>505</v>
      </c>
      <c r="E10" s="1" t="s">
        <v>410</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workbookViewId="0"/>
  </sheetViews>
  <sheetFormatPr baseColWidth="10" defaultRowHeight="13.2" x14ac:dyDescent="0.25"/>
  <sheetData>
    <row r="1" spans="1:23" x14ac:dyDescent="0.25">
      <c r="A1" s="1" t="s">
        <v>509</v>
      </c>
      <c r="B1" s="1" t="s">
        <v>22</v>
      </c>
      <c r="C1" s="1" t="s">
        <v>22</v>
      </c>
      <c r="E1" s="1" t="s">
        <v>22</v>
      </c>
      <c r="F1" s="1" t="s">
        <v>21</v>
      </c>
      <c r="G1" s="1" t="s">
        <v>21</v>
      </c>
      <c r="I1" s="1" t="s">
        <v>22</v>
      </c>
      <c r="O1" s="1" t="s">
        <v>44</v>
      </c>
      <c r="S1" s="1" t="s">
        <v>44</v>
      </c>
      <c r="W1" s="1" t="s">
        <v>44</v>
      </c>
    </row>
    <row r="2" spans="1:23" x14ac:dyDescent="0.25">
      <c r="A2" s="1" t="s">
        <v>34</v>
      </c>
      <c r="N2" s="1" t="s">
        <v>506</v>
      </c>
      <c r="R2" s="1" t="s">
        <v>506</v>
      </c>
      <c r="V2" s="1" t="s">
        <v>506</v>
      </c>
    </row>
    <row r="3" spans="1:23" x14ac:dyDescent="0.25">
      <c r="A3" s="1" t="s">
        <v>22</v>
      </c>
      <c r="B3" s="1" t="s">
        <v>32</v>
      </c>
      <c r="C3" s="1" t="s">
        <v>379</v>
      </c>
    </row>
    <row r="4" spans="1:23" x14ac:dyDescent="0.25">
      <c r="A4" s="1" t="s">
        <v>22</v>
      </c>
      <c r="B4" s="1" t="s">
        <v>25</v>
      </c>
      <c r="C4" s="1" t="s">
        <v>380</v>
      </c>
      <c r="M4" s="1" t="s">
        <v>35</v>
      </c>
      <c r="N4" s="1" t="s">
        <v>36</v>
      </c>
      <c r="Q4" s="1" t="s">
        <v>35</v>
      </c>
      <c r="R4" s="1" t="s">
        <v>36</v>
      </c>
      <c r="U4" s="1" t="s">
        <v>37</v>
      </c>
      <c r="V4" s="1" t="s">
        <v>38</v>
      </c>
    </row>
    <row r="5" spans="1:23" x14ac:dyDescent="0.25">
      <c r="A5" s="1" t="s">
        <v>22</v>
      </c>
      <c r="B5" s="1" t="s">
        <v>33</v>
      </c>
      <c r="C5" s="1" t="s">
        <v>381</v>
      </c>
      <c r="M5" s="1" t="s">
        <v>39</v>
      </c>
      <c r="N5" s="1" t="s">
        <v>40</v>
      </c>
      <c r="Q5" s="1" t="s">
        <v>39</v>
      </c>
      <c r="R5" s="1" t="s">
        <v>40</v>
      </c>
      <c r="U5" s="1" t="s">
        <v>39</v>
      </c>
      <c r="V5" s="1" t="s">
        <v>40</v>
      </c>
    </row>
    <row r="6" spans="1:23" x14ac:dyDescent="0.25">
      <c r="A6" s="1" t="s">
        <v>22</v>
      </c>
      <c r="M6" s="1" t="s">
        <v>382</v>
      </c>
      <c r="N6" s="1" t="s">
        <v>383</v>
      </c>
      <c r="Q6" s="1" t="s">
        <v>384</v>
      </c>
      <c r="R6" s="1" t="s">
        <v>385</v>
      </c>
      <c r="U6" s="1" t="s">
        <v>386</v>
      </c>
      <c r="V6" s="1" t="s">
        <v>387</v>
      </c>
    </row>
    <row r="7" spans="1:23" x14ac:dyDescent="0.25">
      <c r="A7" s="1" t="s">
        <v>22</v>
      </c>
      <c r="Q7" s="1" t="s">
        <v>42</v>
      </c>
      <c r="R7" s="1" t="s">
        <v>51</v>
      </c>
    </row>
    <row r="8" spans="1:23" x14ac:dyDescent="0.25">
      <c r="A8" s="1" t="s">
        <v>22</v>
      </c>
      <c r="Q8" s="1" t="s">
        <v>43</v>
      </c>
      <c r="R8" s="1" t="s">
        <v>52</v>
      </c>
    </row>
    <row r="10" spans="1:23" x14ac:dyDescent="0.25">
      <c r="F10" s="1" t="s">
        <v>496</v>
      </c>
    </row>
    <row r="11" spans="1:23" x14ac:dyDescent="0.25">
      <c r="F11" s="1" t="s">
        <v>497</v>
      </c>
    </row>
    <row r="18" spans="1:23" x14ac:dyDescent="0.25">
      <c r="F18" s="1" t="s">
        <v>489</v>
      </c>
      <c r="G18" s="1" t="s">
        <v>388</v>
      </c>
    </row>
    <row r="19" spans="1:23" x14ac:dyDescent="0.25">
      <c r="F19" s="1" t="s">
        <v>492</v>
      </c>
      <c r="G19" s="1" t="s">
        <v>389</v>
      </c>
    </row>
    <row r="20" spans="1:23" x14ac:dyDescent="0.25">
      <c r="F20" s="1" t="s">
        <v>490</v>
      </c>
      <c r="G20" s="1" t="s">
        <v>390</v>
      </c>
    </row>
    <row r="21" spans="1:23" x14ac:dyDescent="0.25">
      <c r="F21" s="1" t="s">
        <v>491</v>
      </c>
      <c r="G21" s="1" t="s">
        <v>391</v>
      </c>
    </row>
    <row r="23" spans="1:23" x14ac:dyDescent="0.25">
      <c r="M23" s="1" t="s">
        <v>485</v>
      </c>
      <c r="Q23" s="1" t="s">
        <v>486</v>
      </c>
      <c r="U23" s="1" t="s">
        <v>495</v>
      </c>
    </row>
    <row r="24" spans="1:23" x14ac:dyDescent="0.25">
      <c r="F24" s="1" t="s">
        <v>405</v>
      </c>
      <c r="G24" s="1" t="s">
        <v>23</v>
      </c>
      <c r="H24" s="1" t="s">
        <v>41</v>
      </c>
      <c r="I24" s="1" t="s">
        <v>487</v>
      </c>
      <c r="J24" s="1" t="s">
        <v>488</v>
      </c>
      <c r="K24" s="1" t="s">
        <v>501</v>
      </c>
      <c r="M24" s="1" t="s">
        <v>489</v>
      </c>
      <c r="N24" s="1" t="s">
        <v>493</v>
      </c>
      <c r="O24" s="1" t="s">
        <v>494</v>
      </c>
      <c r="Q24" s="1" t="s">
        <v>489</v>
      </c>
      <c r="R24" s="1" t="s">
        <v>493</v>
      </c>
      <c r="S24" s="1" t="s">
        <v>494</v>
      </c>
      <c r="U24" s="1" t="s">
        <v>489</v>
      </c>
      <c r="V24" s="1" t="s">
        <v>493</v>
      </c>
      <c r="W24" s="1" t="s">
        <v>494</v>
      </c>
    </row>
    <row r="25" spans="1:23" x14ac:dyDescent="0.25">
      <c r="U25" s="1" t="s">
        <v>28</v>
      </c>
    </row>
    <row r="26" spans="1:23" x14ac:dyDescent="0.25">
      <c r="E26" s="1" t="s">
        <v>498</v>
      </c>
      <c r="F26" s="1" t="s">
        <v>53</v>
      </c>
      <c r="G26" s="1" t="s">
        <v>54</v>
      </c>
      <c r="H26" s="1" t="s">
        <v>55</v>
      </c>
      <c r="I26" s="1" t="s">
        <v>56</v>
      </c>
      <c r="J26" s="1" t="s">
        <v>57</v>
      </c>
      <c r="K26" s="1" t="s">
        <v>58</v>
      </c>
      <c r="M26" s="1" t="s">
        <v>59</v>
      </c>
      <c r="N26" s="1" t="s">
        <v>60</v>
      </c>
      <c r="O26" s="1" t="s">
        <v>61</v>
      </c>
      <c r="Q26" s="1" t="s">
        <v>62</v>
      </c>
      <c r="R26" s="1" t="s">
        <v>63</v>
      </c>
      <c r="S26" s="1" t="s">
        <v>64</v>
      </c>
      <c r="U26" s="1" t="s">
        <v>65</v>
      </c>
      <c r="V26" s="1" t="s">
        <v>66</v>
      </c>
      <c r="W26" s="1" t="s">
        <v>67</v>
      </c>
    </row>
    <row r="27" spans="1:23" x14ac:dyDescent="0.25">
      <c r="A27" s="1" t="s">
        <v>22</v>
      </c>
      <c r="F27" s="1" t="s">
        <v>27</v>
      </c>
      <c r="H27" s="1" t="s">
        <v>68</v>
      </c>
      <c r="U27" s="1" t="s">
        <v>28</v>
      </c>
    </row>
    <row r="29" spans="1:23" x14ac:dyDescent="0.25">
      <c r="J29" s="1" t="s">
        <v>504</v>
      </c>
      <c r="K29" s="1" t="s">
        <v>69</v>
      </c>
      <c r="M29" s="1" t="s">
        <v>70</v>
      </c>
      <c r="Q29" s="1" t="s">
        <v>71</v>
      </c>
      <c r="U29" s="1" t="s">
        <v>72</v>
      </c>
    </row>
    <row r="31" spans="1:23" x14ac:dyDescent="0.25">
      <c r="J31" s="1" t="s">
        <v>503</v>
      </c>
      <c r="K31" s="1" t="s">
        <v>73</v>
      </c>
      <c r="M31" s="1" t="s">
        <v>74</v>
      </c>
      <c r="Q31" s="1" t="s">
        <v>75</v>
      </c>
      <c r="U31" s="1" t="s">
        <v>76</v>
      </c>
    </row>
    <row r="33" spans="10:21" x14ac:dyDescent="0.25">
      <c r="J33" s="1" t="s">
        <v>502</v>
      </c>
      <c r="K33" s="1" t="s">
        <v>77</v>
      </c>
      <c r="M33" s="1" t="s">
        <v>78</v>
      </c>
      <c r="Q33" s="1" t="s">
        <v>79</v>
      </c>
      <c r="U33" s="1" t="s">
        <v>80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workbookViewId="0"/>
  </sheetViews>
  <sheetFormatPr baseColWidth="10" defaultRowHeight="13.2" x14ac:dyDescent="0.25"/>
  <sheetData>
    <row r="1" spans="1:23" x14ac:dyDescent="0.25">
      <c r="A1" s="1" t="s">
        <v>509</v>
      </c>
      <c r="B1" s="1" t="s">
        <v>22</v>
      </c>
      <c r="C1" s="1" t="s">
        <v>22</v>
      </c>
      <c r="E1" s="1" t="s">
        <v>22</v>
      </c>
      <c r="F1" s="1" t="s">
        <v>21</v>
      </c>
      <c r="G1" s="1" t="s">
        <v>21</v>
      </c>
      <c r="I1" s="1" t="s">
        <v>22</v>
      </c>
      <c r="O1" s="1" t="s">
        <v>44</v>
      </c>
      <c r="S1" s="1" t="s">
        <v>44</v>
      </c>
      <c r="W1" s="1" t="s">
        <v>44</v>
      </c>
    </row>
    <row r="2" spans="1:23" x14ac:dyDescent="0.25">
      <c r="A2" s="1" t="s">
        <v>34</v>
      </c>
      <c r="N2" s="1" t="s">
        <v>507</v>
      </c>
      <c r="R2" s="1" t="s">
        <v>507</v>
      </c>
      <c r="V2" s="1" t="s">
        <v>507</v>
      </c>
    </row>
    <row r="3" spans="1:23" x14ac:dyDescent="0.25">
      <c r="A3" s="1" t="s">
        <v>22</v>
      </c>
      <c r="B3" s="1" t="s">
        <v>32</v>
      </c>
      <c r="C3" s="1" t="s">
        <v>411</v>
      </c>
    </row>
    <row r="4" spans="1:23" x14ac:dyDescent="0.25">
      <c r="A4" s="1" t="s">
        <v>22</v>
      </c>
      <c r="B4" s="1" t="s">
        <v>25</v>
      </c>
      <c r="C4" s="1" t="s">
        <v>412</v>
      </c>
      <c r="M4" s="1" t="s">
        <v>413</v>
      </c>
      <c r="N4" s="1" t="s">
        <v>414</v>
      </c>
      <c r="Q4" s="1" t="s">
        <v>413</v>
      </c>
      <c r="R4" s="1" t="s">
        <v>414</v>
      </c>
      <c r="U4" s="1" t="s">
        <v>415</v>
      </c>
      <c r="V4" s="1" t="s">
        <v>416</v>
      </c>
    </row>
    <row r="5" spans="1:23" x14ac:dyDescent="0.25">
      <c r="A5" s="1" t="s">
        <v>22</v>
      </c>
      <c r="B5" s="1" t="s">
        <v>33</v>
      </c>
      <c r="C5" s="1" t="s">
        <v>417</v>
      </c>
      <c r="M5" s="1" t="s">
        <v>418</v>
      </c>
      <c r="N5" s="1" t="s">
        <v>419</v>
      </c>
      <c r="Q5" s="1" t="s">
        <v>418</v>
      </c>
      <c r="R5" s="1" t="s">
        <v>419</v>
      </c>
      <c r="U5" s="1" t="s">
        <v>418</v>
      </c>
      <c r="V5" s="1" t="s">
        <v>419</v>
      </c>
    </row>
    <row r="6" spans="1:23" x14ac:dyDescent="0.25">
      <c r="A6" s="1" t="s">
        <v>22</v>
      </c>
      <c r="M6" s="1" t="s">
        <v>420</v>
      </c>
      <c r="N6" s="1" t="s">
        <v>421</v>
      </c>
      <c r="Q6" s="1" t="s">
        <v>422</v>
      </c>
      <c r="R6" s="1" t="s">
        <v>423</v>
      </c>
      <c r="U6" s="1" t="s">
        <v>424</v>
      </c>
      <c r="V6" s="1" t="s">
        <v>425</v>
      </c>
    </row>
    <row r="7" spans="1:23" x14ac:dyDescent="0.25">
      <c r="A7" s="1" t="s">
        <v>22</v>
      </c>
      <c r="Q7" s="1" t="s">
        <v>426</v>
      </c>
      <c r="R7" s="1" t="s">
        <v>427</v>
      </c>
    </row>
    <row r="8" spans="1:23" x14ac:dyDescent="0.25">
      <c r="A8" s="1" t="s">
        <v>22</v>
      </c>
      <c r="Q8" s="1" t="s">
        <v>428</v>
      </c>
      <c r="R8" s="1" t="s">
        <v>429</v>
      </c>
    </row>
    <row r="10" spans="1:23" x14ac:dyDescent="0.25">
      <c r="F10" s="1" t="s">
        <v>496</v>
      </c>
    </row>
    <row r="11" spans="1:23" x14ac:dyDescent="0.25">
      <c r="F11" s="1" t="s">
        <v>499</v>
      </c>
    </row>
    <row r="18" spans="1:23" x14ac:dyDescent="0.25">
      <c r="F18" s="1" t="s">
        <v>489</v>
      </c>
      <c r="G18" s="1" t="s">
        <v>430</v>
      </c>
    </row>
    <row r="19" spans="1:23" x14ac:dyDescent="0.25">
      <c r="F19" s="1" t="s">
        <v>492</v>
      </c>
      <c r="G19" s="1" t="s">
        <v>431</v>
      </c>
    </row>
    <row r="20" spans="1:23" x14ac:dyDescent="0.25">
      <c r="F20" s="1" t="s">
        <v>490</v>
      </c>
      <c r="G20" s="1" t="s">
        <v>432</v>
      </c>
    </row>
    <row r="21" spans="1:23" x14ac:dyDescent="0.25">
      <c r="F21" s="1" t="s">
        <v>491</v>
      </c>
      <c r="G21" s="1" t="s">
        <v>433</v>
      </c>
    </row>
    <row r="23" spans="1:23" x14ac:dyDescent="0.25">
      <c r="M23" s="1" t="s">
        <v>485</v>
      </c>
      <c r="Q23" s="1" t="s">
        <v>486</v>
      </c>
      <c r="U23" s="1" t="s">
        <v>495</v>
      </c>
    </row>
    <row r="24" spans="1:23" x14ac:dyDescent="0.25">
      <c r="F24" s="1" t="s">
        <v>405</v>
      </c>
      <c r="G24" s="1" t="s">
        <v>23</v>
      </c>
      <c r="H24" s="1" t="s">
        <v>41</v>
      </c>
      <c r="I24" s="1" t="s">
        <v>487</v>
      </c>
      <c r="J24" s="1" t="s">
        <v>488</v>
      </c>
      <c r="K24" s="1" t="s">
        <v>501</v>
      </c>
      <c r="M24" s="1" t="s">
        <v>489</v>
      </c>
      <c r="N24" s="1" t="s">
        <v>493</v>
      </c>
      <c r="O24" s="1" t="s">
        <v>494</v>
      </c>
      <c r="Q24" s="1" t="s">
        <v>489</v>
      </c>
      <c r="R24" s="1" t="s">
        <v>493</v>
      </c>
      <c r="S24" s="1" t="s">
        <v>494</v>
      </c>
      <c r="U24" s="1" t="s">
        <v>489</v>
      </c>
      <c r="V24" s="1" t="s">
        <v>493</v>
      </c>
      <c r="W24" s="1" t="s">
        <v>494</v>
      </c>
    </row>
    <row r="25" spans="1:23" x14ac:dyDescent="0.25">
      <c r="U25" s="1" t="s">
        <v>28</v>
      </c>
    </row>
    <row r="26" spans="1:23" x14ac:dyDescent="0.25">
      <c r="E26" s="1" t="s">
        <v>500</v>
      </c>
      <c r="F26" s="1" t="s">
        <v>434</v>
      </c>
      <c r="G26" s="1" t="s">
        <v>435</v>
      </c>
      <c r="H26" s="1" t="s">
        <v>436</v>
      </c>
      <c r="I26" s="1" t="s">
        <v>437</v>
      </c>
      <c r="J26" s="1" t="s">
        <v>438</v>
      </c>
      <c r="K26" s="1" t="s">
        <v>439</v>
      </c>
      <c r="M26" s="1" t="s">
        <v>440</v>
      </c>
      <c r="N26" s="1" t="s">
        <v>441</v>
      </c>
      <c r="O26" s="1" t="s">
        <v>442</v>
      </c>
      <c r="Q26" s="1" t="s">
        <v>443</v>
      </c>
      <c r="R26" s="1" t="s">
        <v>444</v>
      </c>
      <c r="S26" s="1" t="s">
        <v>445</v>
      </c>
      <c r="U26" s="1" t="s">
        <v>446</v>
      </c>
      <c r="V26" s="1" t="s">
        <v>447</v>
      </c>
      <c r="W26" s="1" t="s">
        <v>448</v>
      </c>
    </row>
    <row r="27" spans="1:23" x14ac:dyDescent="0.25">
      <c r="A27" s="1" t="s">
        <v>22</v>
      </c>
      <c r="F27" s="1" t="s">
        <v>27</v>
      </c>
      <c r="H27" s="1" t="s">
        <v>449</v>
      </c>
      <c r="U27" s="1" t="s">
        <v>28</v>
      </c>
    </row>
    <row r="29" spans="1:23" x14ac:dyDescent="0.25">
      <c r="J29" s="1" t="s">
        <v>504</v>
      </c>
      <c r="K29" s="1" t="s">
        <v>450</v>
      </c>
      <c r="M29" s="1" t="s">
        <v>451</v>
      </c>
      <c r="Q29" s="1" t="s">
        <v>452</v>
      </c>
      <c r="U29" s="1" t="s">
        <v>453</v>
      </c>
    </row>
    <row r="31" spans="1:23" x14ac:dyDescent="0.25">
      <c r="J31" s="1" t="s">
        <v>503</v>
      </c>
      <c r="K31" s="1" t="s">
        <v>454</v>
      </c>
      <c r="M31" s="1" t="s">
        <v>455</v>
      </c>
      <c r="Q31" s="1" t="s">
        <v>456</v>
      </c>
      <c r="U31" s="1" t="s">
        <v>457</v>
      </c>
    </row>
    <row r="33" spans="10:21" x14ac:dyDescent="0.25">
      <c r="J33" s="1" t="s">
        <v>502</v>
      </c>
      <c r="K33" s="1" t="s">
        <v>458</v>
      </c>
      <c r="M33" s="1" t="s">
        <v>459</v>
      </c>
      <c r="Q33" s="1" t="s">
        <v>460</v>
      </c>
      <c r="U33" s="1" t="s">
        <v>461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RowHeight="13.2" x14ac:dyDescent="0.25"/>
  <sheetData>
    <row r="1" spans="1:5" x14ac:dyDescent="0.25">
      <c r="A1" s="1" t="s">
        <v>511</v>
      </c>
      <c r="C1" s="1" t="s">
        <v>17</v>
      </c>
      <c r="D1" s="1" t="s">
        <v>16</v>
      </c>
      <c r="E1" s="1" t="s">
        <v>14</v>
      </c>
    </row>
    <row r="4" spans="1:5" x14ac:dyDescent="0.25">
      <c r="A4" s="1" t="s">
        <v>18</v>
      </c>
      <c r="C4" s="1" t="s">
        <v>24</v>
      </c>
      <c r="D4" s="1" t="s">
        <v>45</v>
      </c>
    </row>
    <row r="5" spans="1:5" x14ac:dyDescent="0.25">
      <c r="A5" s="1" t="s">
        <v>18</v>
      </c>
      <c r="C5" s="1" t="s">
        <v>25</v>
      </c>
      <c r="D5" s="1" t="s">
        <v>406</v>
      </c>
    </row>
    <row r="6" spans="1:5" x14ac:dyDescent="0.25">
      <c r="A6" s="1" t="s">
        <v>18</v>
      </c>
      <c r="C6" s="1" t="s">
        <v>30</v>
      </c>
      <c r="D6" s="1" t="s">
        <v>15</v>
      </c>
    </row>
    <row r="7" spans="1:5" x14ac:dyDescent="0.25">
      <c r="A7" s="1" t="s">
        <v>18</v>
      </c>
      <c r="C7" s="1" t="s">
        <v>31</v>
      </c>
      <c r="D7" s="1" t="s">
        <v>15</v>
      </c>
      <c r="E7" s="1" t="s">
        <v>47</v>
      </c>
    </row>
    <row r="8" spans="1:5" x14ac:dyDescent="0.25">
      <c r="A8" s="1" t="s">
        <v>18</v>
      </c>
      <c r="C8" s="1" t="s">
        <v>19</v>
      </c>
      <c r="D8" s="1" t="s">
        <v>15</v>
      </c>
      <c r="E8" s="1" t="s">
        <v>48</v>
      </c>
    </row>
    <row r="9" spans="1:5" x14ac:dyDescent="0.25">
      <c r="A9" s="1" t="s">
        <v>18</v>
      </c>
      <c r="C9" s="1" t="s">
        <v>20</v>
      </c>
      <c r="D9" s="1" t="s">
        <v>15</v>
      </c>
      <c r="E9" s="1" t="s">
        <v>49</v>
      </c>
    </row>
    <row r="10" spans="1:5" x14ac:dyDescent="0.25">
      <c r="A10" s="1" t="s">
        <v>18</v>
      </c>
      <c r="C10" s="1" t="s">
        <v>33</v>
      </c>
      <c r="D10" s="1" t="s">
        <v>505</v>
      </c>
      <c r="E10" s="1" t="s">
        <v>50</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workbookViewId="0"/>
  </sheetViews>
  <sheetFormatPr baseColWidth="10" defaultRowHeight="13.2" x14ac:dyDescent="0.25"/>
  <sheetData>
    <row r="1" spans="1:23" x14ac:dyDescent="0.25">
      <c r="A1" s="1" t="s">
        <v>513</v>
      </c>
      <c r="B1" s="1" t="s">
        <v>22</v>
      </c>
      <c r="C1" s="1" t="s">
        <v>22</v>
      </c>
      <c r="E1" s="1" t="s">
        <v>22</v>
      </c>
      <c r="F1" s="1" t="s">
        <v>21</v>
      </c>
      <c r="G1" s="1" t="s">
        <v>21</v>
      </c>
      <c r="I1" s="1" t="s">
        <v>22</v>
      </c>
      <c r="O1" s="1" t="s">
        <v>44</v>
      </c>
      <c r="S1" s="1" t="s">
        <v>44</v>
      </c>
      <c r="W1" s="1" t="s">
        <v>44</v>
      </c>
    </row>
    <row r="2" spans="1:23" x14ac:dyDescent="0.25">
      <c r="A2" s="1" t="s">
        <v>34</v>
      </c>
      <c r="N2" s="1" t="s">
        <v>506</v>
      </c>
      <c r="R2" s="1" t="s">
        <v>506</v>
      </c>
      <c r="V2" s="1" t="s">
        <v>506</v>
      </c>
    </row>
    <row r="3" spans="1:23" x14ac:dyDescent="0.25">
      <c r="A3" s="1" t="s">
        <v>22</v>
      </c>
      <c r="B3" s="1" t="s">
        <v>32</v>
      </c>
      <c r="C3" s="1" t="s">
        <v>379</v>
      </c>
    </row>
    <row r="4" spans="1:23" x14ac:dyDescent="0.25">
      <c r="A4" s="1" t="s">
        <v>22</v>
      </c>
      <c r="B4" s="1" t="s">
        <v>25</v>
      </c>
      <c r="C4" s="1" t="s">
        <v>380</v>
      </c>
      <c r="M4" s="1" t="s">
        <v>35</v>
      </c>
      <c r="N4" s="1" t="s">
        <v>36</v>
      </c>
      <c r="Q4" s="1" t="s">
        <v>35</v>
      </c>
      <c r="R4" s="1" t="s">
        <v>36</v>
      </c>
      <c r="U4" s="1" t="s">
        <v>37</v>
      </c>
      <c r="V4" s="1" t="s">
        <v>38</v>
      </c>
    </row>
    <row r="5" spans="1:23" x14ac:dyDescent="0.25">
      <c r="A5" s="1" t="s">
        <v>22</v>
      </c>
      <c r="B5" s="1" t="s">
        <v>33</v>
      </c>
      <c r="C5" s="1" t="s">
        <v>381</v>
      </c>
      <c r="M5" s="1" t="s">
        <v>39</v>
      </c>
      <c r="N5" s="1" t="s">
        <v>40</v>
      </c>
      <c r="Q5" s="1" t="s">
        <v>39</v>
      </c>
      <c r="R5" s="1" t="s">
        <v>40</v>
      </c>
      <c r="U5" s="1" t="s">
        <v>39</v>
      </c>
      <c r="V5" s="1" t="s">
        <v>40</v>
      </c>
    </row>
    <row r="6" spans="1:23" x14ac:dyDescent="0.25">
      <c r="A6" s="1" t="s">
        <v>22</v>
      </c>
      <c r="M6" s="1" t="s">
        <v>382</v>
      </c>
      <c r="N6" s="1" t="s">
        <v>383</v>
      </c>
      <c r="Q6" s="1" t="s">
        <v>384</v>
      </c>
      <c r="R6" s="1" t="s">
        <v>385</v>
      </c>
      <c r="U6" s="1" t="s">
        <v>386</v>
      </c>
      <c r="V6" s="1" t="s">
        <v>387</v>
      </c>
    </row>
    <row r="7" spans="1:23" x14ac:dyDescent="0.25">
      <c r="A7" s="1" t="s">
        <v>22</v>
      </c>
      <c r="Q7" s="1" t="s">
        <v>42</v>
      </c>
      <c r="R7" s="1" t="s">
        <v>51</v>
      </c>
    </row>
    <row r="8" spans="1:23" x14ac:dyDescent="0.25">
      <c r="A8" s="1" t="s">
        <v>22</v>
      </c>
      <c r="Q8" s="1" t="s">
        <v>43</v>
      </c>
      <c r="R8" s="1" t="s">
        <v>52</v>
      </c>
    </row>
    <row r="10" spans="1:23" x14ac:dyDescent="0.25">
      <c r="F10" s="1" t="s">
        <v>496</v>
      </c>
    </row>
    <row r="11" spans="1:23" x14ac:dyDescent="0.25">
      <c r="F11" s="1" t="s">
        <v>497</v>
      </c>
    </row>
    <row r="18" spans="1:23" x14ac:dyDescent="0.25">
      <c r="F18" s="1" t="s">
        <v>489</v>
      </c>
      <c r="G18" s="1" t="s">
        <v>388</v>
      </c>
    </row>
    <row r="19" spans="1:23" x14ac:dyDescent="0.25">
      <c r="F19" s="1" t="s">
        <v>492</v>
      </c>
      <c r="G19" s="1" t="s">
        <v>389</v>
      </c>
    </row>
    <row r="20" spans="1:23" x14ac:dyDescent="0.25">
      <c r="F20" s="1" t="s">
        <v>490</v>
      </c>
      <c r="G20" s="1" t="s">
        <v>390</v>
      </c>
    </row>
    <row r="21" spans="1:23" x14ac:dyDescent="0.25">
      <c r="F21" s="1" t="s">
        <v>491</v>
      </c>
      <c r="G21" s="1" t="s">
        <v>391</v>
      </c>
    </row>
    <row r="23" spans="1:23" x14ac:dyDescent="0.25">
      <c r="M23" s="1" t="s">
        <v>485</v>
      </c>
      <c r="Q23" s="1" t="s">
        <v>486</v>
      </c>
      <c r="U23" s="1" t="s">
        <v>495</v>
      </c>
    </row>
    <row r="24" spans="1:23" x14ac:dyDescent="0.25">
      <c r="F24" s="1" t="s">
        <v>405</v>
      </c>
      <c r="G24" s="1" t="s">
        <v>23</v>
      </c>
      <c r="H24" s="1" t="s">
        <v>41</v>
      </c>
      <c r="I24" s="1" t="s">
        <v>487</v>
      </c>
      <c r="J24" s="1" t="s">
        <v>488</v>
      </c>
      <c r="K24" s="1" t="s">
        <v>501</v>
      </c>
      <c r="M24" s="1" t="s">
        <v>489</v>
      </c>
      <c r="N24" s="1" t="s">
        <v>493</v>
      </c>
      <c r="O24" s="1" t="s">
        <v>494</v>
      </c>
      <c r="Q24" s="1" t="s">
        <v>489</v>
      </c>
      <c r="R24" s="1" t="s">
        <v>493</v>
      </c>
      <c r="S24" s="1" t="s">
        <v>494</v>
      </c>
      <c r="U24" s="1" t="s">
        <v>489</v>
      </c>
      <c r="V24" s="1" t="s">
        <v>493</v>
      </c>
      <c r="W24" s="1" t="s">
        <v>494</v>
      </c>
    </row>
    <row r="25" spans="1:23" x14ac:dyDescent="0.25">
      <c r="U25" s="1" t="s">
        <v>28</v>
      </c>
    </row>
    <row r="26" spans="1:23" x14ac:dyDescent="0.25">
      <c r="E26" s="1" t="s">
        <v>498</v>
      </c>
      <c r="F26" s="1" t="s">
        <v>53</v>
      </c>
      <c r="G26" s="1" t="s">
        <v>54</v>
      </c>
      <c r="H26" s="1" t="s">
        <v>55</v>
      </c>
      <c r="I26" s="1" t="s">
        <v>56</v>
      </c>
      <c r="J26" s="1" t="s">
        <v>57</v>
      </c>
      <c r="K26" s="1" t="s">
        <v>347</v>
      </c>
      <c r="M26" s="1" t="s">
        <v>59</v>
      </c>
      <c r="N26" s="1" t="s">
        <v>60</v>
      </c>
      <c r="O26" s="1" t="s">
        <v>61</v>
      </c>
      <c r="Q26" s="1" t="s">
        <v>62</v>
      </c>
      <c r="R26" s="1" t="s">
        <v>63</v>
      </c>
      <c r="S26" s="1" t="s">
        <v>64</v>
      </c>
      <c r="U26" s="1" t="s">
        <v>65</v>
      </c>
      <c r="V26" s="1" t="s">
        <v>66</v>
      </c>
      <c r="W26" s="1" t="s">
        <v>67</v>
      </c>
    </row>
    <row r="27" spans="1:23" x14ac:dyDescent="0.25">
      <c r="A27" s="1" t="s">
        <v>26</v>
      </c>
      <c r="E27" s="1" t="s">
        <v>462</v>
      </c>
      <c r="F27" s="1" t="s">
        <v>81</v>
      </c>
      <c r="G27" s="1" t="s">
        <v>82</v>
      </c>
      <c r="H27" s="1" t="s">
        <v>68</v>
      </c>
      <c r="I27" s="1" t="s">
        <v>83</v>
      </c>
      <c r="J27" s="1" t="s">
        <v>84</v>
      </c>
      <c r="K27" s="1" t="s">
        <v>348</v>
      </c>
      <c r="M27" s="1" t="s">
        <v>85</v>
      </c>
      <c r="N27" s="1" t="s">
        <v>86</v>
      </c>
      <c r="O27" s="1" t="s">
        <v>87</v>
      </c>
      <c r="Q27" s="1" t="s">
        <v>88</v>
      </c>
      <c r="R27" s="1" t="s">
        <v>89</v>
      </c>
      <c r="S27" s="1" t="s">
        <v>90</v>
      </c>
      <c r="U27" s="1" t="s">
        <v>91</v>
      </c>
      <c r="V27" s="1" t="s">
        <v>92</v>
      </c>
      <c r="W27" s="1" t="s">
        <v>93</v>
      </c>
    </row>
    <row r="28" spans="1:23" x14ac:dyDescent="0.25">
      <c r="A28" s="1" t="s">
        <v>26</v>
      </c>
      <c r="E28" s="1" t="s">
        <v>463</v>
      </c>
      <c r="F28" s="1" t="s">
        <v>94</v>
      </c>
      <c r="G28" s="1" t="s">
        <v>95</v>
      </c>
      <c r="H28" s="1" t="s">
        <v>96</v>
      </c>
      <c r="I28" s="1" t="s">
        <v>97</v>
      </c>
      <c r="J28" s="1" t="s">
        <v>98</v>
      </c>
      <c r="K28" s="1" t="s">
        <v>349</v>
      </c>
      <c r="M28" s="1" t="s">
        <v>99</v>
      </c>
      <c r="N28" s="1" t="s">
        <v>100</v>
      </c>
      <c r="O28" s="1" t="s">
        <v>101</v>
      </c>
      <c r="Q28" s="1" t="s">
        <v>102</v>
      </c>
      <c r="R28" s="1" t="s">
        <v>103</v>
      </c>
      <c r="S28" s="1" t="s">
        <v>104</v>
      </c>
      <c r="U28" s="1" t="s">
        <v>105</v>
      </c>
      <c r="V28" s="1" t="s">
        <v>106</v>
      </c>
      <c r="W28" s="1" t="s">
        <v>107</v>
      </c>
    </row>
    <row r="29" spans="1:23" x14ac:dyDescent="0.25">
      <c r="A29" s="1" t="s">
        <v>26</v>
      </c>
      <c r="E29" s="1" t="s">
        <v>464</v>
      </c>
      <c r="F29" s="1" t="s">
        <v>108</v>
      </c>
      <c r="G29" s="1" t="s">
        <v>109</v>
      </c>
      <c r="H29" s="1" t="s">
        <v>110</v>
      </c>
      <c r="I29" s="1" t="s">
        <v>111</v>
      </c>
      <c r="J29" s="1" t="s">
        <v>112</v>
      </c>
      <c r="K29" s="1" t="s">
        <v>350</v>
      </c>
      <c r="M29" s="1" t="s">
        <v>113</v>
      </c>
      <c r="N29" s="1" t="s">
        <v>114</v>
      </c>
      <c r="O29" s="1" t="s">
        <v>115</v>
      </c>
      <c r="Q29" s="1" t="s">
        <v>116</v>
      </c>
      <c r="R29" s="1" t="s">
        <v>117</v>
      </c>
      <c r="S29" s="1" t="s">
        <v>118</v>
      </c>
      <c r="U29" s="1" t="s">
        <v>119</v>
      </c>
      <c r="V29" s="1" t="s">
        <v>120</v>
      </c>
      <c r="W29" s="1" t="s">
        <v>121</v>
      </c>
    </row>
    <row r="30" spans="1:23" x14ac:dyDescent="0.25">
      <c r="A30" s="1" t="s">
        <v>26</v>
      </c>
      <c r="E30" s="1" t="s">
        <v>465</v>
      </c>
      <c r="F30" s="1" t="s">
        <v>122</v>
      </c>
      <c r="G30" s="1" t="s">
        <v>123</v>
      </c>
      <c r="H30" s="1" t="s">
        <v>124</v>
      </c>
      <c r="I30" s="1" t="s">
        <v>125</v>
      </c>
      <c r="J30" s="1" t="s">
        <v>126</v>
      </c>
      <c r="K30" s="1" t="s">
        <v>351</v>
      </c>
      <c r="M30" s="1" t="s">
        <v>127</v>
      </c>
      <c r="N30" s="1" t="s">
        <v>128</v>
      </c>
      <c r="O30" s="1" t="s">
        <v>129</v>
      </c>
      <c r="Q30" s="1" t="s">
        <v>130</v>
      </c>
      <c r="R30" s="1" t="s">
        <v>131</v>
      </c>
      <c r="S30" s="1" t="s">
        <v>132</v>
      </c>
      <c r="U30" s="1" t="s">
        <v>133</v>
      </c>
      <c r="V30" s="1" t="s">
        <v>134</v>
      </c>
      <c r="W30" s="1" t="s">
        <v>135</v>
      </c>
    </row>
    <row r="31" spans="1:23" x14ac:dyDescent="0.25">
      <c r="A31" s="1" t="s">
        <v>26</v>
      </c>
      <c r="E31" s="1" t="s">
        <v>466</v>
      </c>
      <c r="F31" s="1" t="s">
        <v>136</v>
      </c>
      <c r="G31" s="1" t="s">
        <v>137</v>
      </c>
      <c r="H31" s="1" t="s">
        <v>138</v>
      </c>
      <c r="I31" s="1" t="s">
        <v>139</v>
      </c>
      <c r="J31" s="1" t="s">
        <v>140</v>
      </c>
      <c r="K31" s="1" t="s">
        <v>352</v>
      </c>
      <c r="M31" s="1" t="s">
        <v>141</v>
      </c>
      <c r="N31" s="1" t="s">
        <v>142</v>
      </c>
      <c r="O31" s="1" t="s">
        <v>143</v>
      </c>
      <c r="Q31" s="1" t="s">
        <v>144</v>
      </c>
      <c r="R31" s="1" t="s">
        <v>145</v>
      </c>
      <c r="S31" s="1" t="s">
        <v>146</v>
      </c>
      <c r="U31" s="1" t="s">
        <v>147</v>
      </c>
      <c r="V31" s="1" t="s">
        <v>148</v>
      </c>
      <c r="W31" s="1" t="s">
        <v>149</v>
      </c>
    </row>
    <row r="32" spans="1:23" x14ac:dyDescent="0.25">
      <c r="A32" s="1" t="s">
        <v>26</v>
      </c>
      <c r="E32" s="1" t="s">
        <v>467</v>
      </c>
      <c r="F32" s="1" t="s">
        <v>150</v>
      </c>
      <c r="G32" s="1" t="s">
        <v>151</v>
      </c>
      <c r="H32" s="1" t="s">
        <v>152</v>
      </c>
      <c r="I32" s="1" t="s">
        <v>153</v>
      </c>
      <c r="J32" s="1" t="s">
        <v>154</v>
      </c>
      <c r="K32" s="1" t="s">
        <v>353</v>
      </c>
      <c r="M32" s="1" t="s">
        <v>155</v>
      </c>
      <c r="N32" s="1" t="s">
        <v>156</v>
      </c>
      <c r="O32" s="1" t="s">
        <v>157</v>
      </c>
      <c r="Q32" s="1" t="s">
        <v>158</v>
      </c>
      <c r="R32" s="1" t="s">
        <v>159</v>
      </c>
      <c r="S32" s="1" t="s">
        <v>160</v>
      </c>
      <c r="U32" s="1" t="s">
        <v>161</v>
      </c>
      <c r="V32" s="1" t="s">
        <v>162</v>
      </c>
      <c r="W32" s="1" t="s">
        <v>163</v>
      </c>
    </row>
    <row r="33" spans="1:23" x14ac:dyDescent="0.25">
      <c r="A33" s="1" t="s">
        <v>26</v>
      </c>
      <c r="E33" s="1" t="s">
        <v>468</v>
      </c>
      <c r="F33" s="1" t="s">
        <v>164</v>
      </c>
      <c r="G33" s="1" t="s">
        <v>165</v>
      </c>
      <c r="H33" s="1" t="s">
        <v>166</v>
      </c>
      <c r="I33" s="1" t="s">
        <v>167</v>
      </c>
      <c r="J33" s="1" t="s">
        <v>168</v>
      </c>
      <c r="K33" s="1" t="s">
        <v>354</v>
      </c>
      <c r="M33" s="1" t="s">
        <v>169</v>
      </c>
      <c r="N33" s="1" t="s">
        <v>170</v>
      </c>
      <c r="O33" s="1" t="s">
        <v>171</v>
      </c>
      <c r="Q33" s="1" t="s">
        <v>172</v>
      </c>
      <c r="R33" s="1" t="s">
        <v>173</v>
      </c>
      <c r="S33" s="1" t="s">
        <v>174</v>
      </c>
      <c r="U33" s="1" t="s">
        <v>175</v>
      </c>
      <c r="V33" s="1" t="s">
        <v>176</v>
      </c>
      <c r="W33" s="1" t="s">
        <v>177</v>
      </c>
    </row>
    <row r="34" spans="1:23" x14ac:dyDescent="0.25">
      <c r="A34" s="1" t="s">
        <v>26</v>
      </c>
      <c r="E34" s="1" t="s">
        <v>469</v>
      </c>
      <c r="F34" s="1" t="s">
        <v>178</v>
      </c>
      <c r="G34" s="1" t="s">
        <v>179</v>
      </c>
      <c r="H34" s="1" t="s">
        <v>180</v>
      </c>
      <c r="I34" s="1" t="s">
        <v>181</v>
      </c>
      <c r="J34" s="1" t="s">
        <v>182</v>
      </c>
      <c r="K34" s="1" t="s">
        <v>355</v>
      </c>
      <c r="M34" s="1" t="s">
        <v>183</v>
      </c>
      <c r="N34" s="1" t="s">
        <v>184</v>
      </c>
      <c r="O34" s="1" t="s">
        <v>185</v>
      </c>
      <c r="Q34" s="1" t="s">
        <v>186</v>
      </c>
      <c r="R34" s="1" t="s">
        <v>187</v>
      </c>
      <c r="S34" s="1" t="s">
        <v>188</v>
      </c>
      <c r="U34" s="1" t="s">
        <v>189</v>
      </c>
      <c r="V34" s="1" t="s">
        <v>190</v>
      </c>
      <c r="W34" s="1" t="s">
        <v>191</v>
      </c>
    </row>
    <row r="35" spans="1:23" x14ac:dyDescent="0.25">
      <c r="A35" s="1" t="s">
        <v>26</v>
      </c>
      <c r="E35" s="1" t="s">
        <v>470</v>
      </c>
      <c r="F35" s="1" t="s">
        <v>192</v>
      </c>
      <c r="G35" s="1" t="s">
        <v>193</v>
      </c>
      <c r="H35" s="1" t="s">
        <v>194</v>
      </c>
      <c r="I35" s="1" t="s">
        <v>195</v>
      </c>
      <c r="J35" s="1" t="s">
        <v>196</v>
      </c>
      <c r="K35" s="1" t="s">
        <v>356</v>
      </c>
      <c r="M35" s="1" t="s">
        <v>197</v>
      </c>
      <c r="N35" s="1" t="s">
        <v>198</v>
      </c>
      <c r="O35" s="1" t="s">
        <v>199</v>
      </c>
      <c r="Q35" s="1" t="s">
        <v>200</v>
      </c>
      <c r="R35" s="1" t="s">
        <v>201</v>
      </c>
      <c r="S35" s="1" t="s">
        <v>202</v>
      </c>
      <c r="U35" s="1" t="s">
        <v>203</v>
      </c>
      <c r="V35" s="1" t="s">
        <v>204</v>
      </c>
      <c r="W35" s="1" t="s">
        <v>205</v>
      </c>
    </row>
    <row r="36" spans="1:23" x14ac:dyDescent="0.25">
      <c r="A36" s="1" t="s">
        <v>26</v>
      </c>
      <c r="E36" s="1" t="s">
        <v>471</v>
      </c>
      <c r="F36" s="1" t="s">
        <v>207</v>
      </c>
      <c r="G36" s="1" t="s">
        <v>208</v>
      </c>
      <c r="H36" s="1" t="s">
        <v>206</v>
      </c>
      <c r="I36" s="1" t="s">
        <v>209</v>
      </c>
      <c r="J36" s="1" t="s">
        <v>210</v>
      </c>
      <c r="K36" s="1" t="s">
        <v>357</v>
      </c>
      <c r="M36" s="1" t="s">
        <v>211</v>
      </c>
      <c r="N36" s="1" t="s">
        <v>212</v>
      </c>
      <c r="O36" s="1" t="s">
        <v>213</v>
      </c>
      <c r="Q36" s="1" t="s">
        <v>214</v>
      </c>
      <c r="R36" s="1" t="s">
        <v>215</v>
      </c>
      <c r="S36" s="1" t="s">
        <v>216</v>
      </c>
      <c r="U36" s="1" t="s">
        <v>217</v>
      </c>
      <c r="V36" s="1" t="s">
        <v>218</v>
      </c>
      <c r="W36" s="1" t="s">
        <v>219</v>
      </c>
    </row>
    <row r="37" spans="1:23" x14ac:dyDescent="0.25">
      <c r="A37" s="1" t="s">
        <v>26</v>
      </c>
      <c r="E37" s="1" t="s">
        <v>472</v>
      </c>
      <c r="F37" s="1" t="s">
        <v>220</v>
      </c>
      <c r="G37" s="1" t="s">
        <v>221</v>
      </c>
      <c r="H37" s="1" t="s">
        <v>222</v>
      </c>
      <c r="I37" s="1" t="s">
        <v>223</v>
      </c>
      <c r="J37" s="1" t="s">
        <v>224</v>
      </c>
      <c r="K37" s="1" t="s">
        <v>358</v>
      </c>
      <c r="M37" s="1" t="s">
        <v>225</v>
      </c>
      <c r="N37" s="1" t="s">
        <v>226</v>
      </c>
      <c r="O37" s="1" t="s">
        <v>227</v>
      </c>
      <c r="Q37" s="1" t="s">
        <v>228</v>
      </c>
      <c r="R37" s="1" t="s">
        <v>229</v>
      </c>
      <c r="S37" s="1" t="s">
        <v>230</v>
      </c>
      <c r="U37" s="1" t="s">
        <v>231</v>
      </c>
      <c r="V37" s="1" t="s">
        <v>232</v>
      </c>
      <c r="W37" s="1" t="s">
        <v>233</v>
      </c>
    </row>
    <row r="38" spans="1:23" x14ac:dyDescent="0.25">
      <c r="A38" s="1" t="s">
        <v>26</v>
      </c>
      <c r="E38" s="1" t="s">
        <v>473</v>
      </c>
      <c r="F38" s="1" t="s">
        <v>234</v>
      </c>
      <c r="G38" s="1" t="s">
        <v>235</v>
      </c>
      <c r="H38" s="1" t="s">
        <v>236</v>
      </c>
      <c r="I38" s="1" t="s">
        <v>237</v>
      </c>
      <c r="J38" s="1" t="s">
        <v>238</v>
      </c>
      <c r="K38" s="1" t="s">
        <v>359</v>
      </c>
      <c r="M38" s="1" t="s">
        <v>239</v>
      </c>
      <c r="N38" s="1" t="s">
        <v>240</v>
      </c>
      <c r="O38" s="1" t="s">
        <v>241</v>
      </c>
      <c r="Q38" s="1" t="s">
        <v>242</v>
      </c>
      <c r="R38" s="1" t="s">
        <v>243</v>
      </c>
      <c r="S38" s="1" t="s">
        <v>244</v>
      </c>
      <c r="U38" s="1" t="s">
        <v>245</v>
      </c>
      <c r="V38" s="1" t="s">
        <v>246</v>
      </c>
      <c r="W38" s="1" t="s">
        <v>247</v>
      </c>
    </row>
    <row r="39" spans="1:23" x14ac:dyDescent="0.25">
      <c r="A39" s="1" t="s">
        <v>26</v>
      </c>
      <c r="E39" s="1" t="s">
        <v>474</v>
      </c>
      <c r="F39" s="1" t="s">
        <v>248</v>
      </c>
      <c r="G39" s="1" t="s">
        <v>249</v>
      </c>
      <c r="H39" s="1" t="s">
        <v>250</v>
      </c>
      <c r="I39" s="1" t="s">
        <v>251</v>
      </c>
      <c r="J39" s="1" t="s">
        <v>252</v>
      </c>
      <c r="K39" s="1" t="s">
        <v>360</v>
      </c>
      <c r="M39" s="1" t="s">
        <v>253</v>
      </c>
      <c r="N39" s="1" t="s">
        <v>254</v>
      </c>
      <c r="O39" s="1" t="s">
        <v>255</v>
      </c>
      <c r="Q39" s="1" t="s">
        <v>256</v>
      </c>
      <c r="R39" s="1" t="s">
        <v>257</v>
      </c>
      <c r="S39" s="1" t="s">
        <v>258</v>
      </c>
      <c r="U39" s="1" t="s">
        <v>259</v>
      </c>
      <c r="V39" s="1" t="s">
        <v>260</v>
      </c>
      <c r="W39" s="1" t="s">
        <v>261</v>
      </c>
    </row>
    <row r="40" spans="1:23" x14ac:dyDescent="0.25">
      <c r="A40" s="1" t="s">
        <v>26</v>
      </c>
      <c r="E40" s="1" t="s">
        <v>475</v>
      </c>
      <c r="F40" s="1" t="s">
        <v>262</v>
      </c>
      <c r="G40" s="1" t="s">
        <v>263</v>
      </c>
      <c r="H40" s="1" t="s">
        <v>264</v>
      </c>
      <c r="I40" s="1" t="s">
        <v>265</v>
      </c>
      <c r="J40" s="1" t="s">
        <v>266</v>
      </c>
      <c r="K40" s="1" t="s">
        <v>361</v>
      </c>
      <c r="M40" s="1" t="s">
        <v>267</v>
      </c>
      <c r="N40" s="1" t="s">
        <v>268</v>
      </c>
      <c r="O40" s="1" t="s">
        <v>269</v>
      </c>
      <c r="Q40" s="1" t="s">
        <v>270</v>
      </c>
      <c r="R40" s="1" t="s">
        <v>271</v>
      </c>
      <c r="S40" s="1" t="s">
        <v>272</v>
      </c>
      <c r="U40" s="1" t="s">
        <v>273</v>
      </c>
      <c r="V40" s="1" t="s">
        <v>274</v>
      </c>
      <c r="W40" s="1" t="s">
        <v>275</v>
      </c>
    </row>
    <row r="41" spans="1:23" x14ac:dyDescent="0.25">
      <c r="A41" s="1" t="s">
        <v>26</v>
      </c>
      <c r="E41" s="1" t="s">
        <v>476</v>
      </c>
      <c r="F41" s="1" t="s">
        <v>276</v>
      </c>
      <c r="G41" s="1" t="s">
        <v>277</v>
      </c>
      <c r="H41" s="1" t="s">
        <v>278</v>
      </c>
      <c r="I41" s="1" t="s">
        <v>279</v>
      </c>
      <c r="J41" s="1" t="s">
        <v>280</v>
      </c>
      <c r="K41" s="1" t="s">
        <v>362</v>
      </c>
      <c r="M41" s="1" t="s">
        <v>281</v>
      </c>
      <c r="N41" s="1" t="s">
        <v>282</v>
      </c>
      <c r="O41" s="1" t="s">
        <v>283</v>
      </c>
      <c r="Q41" s="1" t="s">
        <v>284</v>
      </c>
      <c r="R41" s="1" t="s">
        <v>285</v>
      </c>
      <c r="S41" s="1" t="s">
        <v>286</v>
      </c>
      <c r="U41" s="1" t="s">
        <v>287</v>
      </c>
      <c r="V41" s="1" t="s">
        <v>288</v>
      </c>
      <c r="W41" s="1" t="s">
        <v>289</v>
      </c>
    </row>
    <row r="42" spans="1:23" x14ac:dyDescent="0.25">
      <c r="A42" s="1" t="s">
        <v>26</v>
      </c>
      <c r="E42" s="1" t="s">
        <v>477</v>
      </c>
      <c r="F42" s="1" t="s">
        <v>290</v>
      </c>
      <c r="G42" s="1" t="s">
        <v>291</v>
      </c>
      <c r="H42" s="1" t="s">
        <v>292</v>
      </c>
      <c r="I42" s="1" t="s">
        <v>293</v>
      </c>
      <c r="J42" s="1" t="s">
        <v>294</v>
      </c>
      <c r="K42" s="1" t="s">
        <v>363</v>
      </c>
      <c r="M42" s="1" t="s">
        <v>295</v>
      </c>
      <c r="N42" s="1" t="s">
        <v>296</v>
      </c>
      <c r="O42" s="1" t="s">
        <v>297</v>
      </c>
      <c r="Q42" s="1" t="s">
        <v>298</v>
      </c>
      <c r="R42" s="1" t="s">
        <v>299</v>
      </c>
      <c r="S42" s="1" t="s">
        <v>300</v>
      </c>
      <c r="U42" s="1" t="s">
        <v>301</v>
      </c>
      <c r="V42" s="1" t="s">
        <v>302</v>
      </c>
      <c r="W42" s="1" t="s">
        <v>303</v>
      </c>
    </row>
    <row r="43" spans="1:23" x14ac:dyDescent="0.25">
      <c r="A43" s="1" t="s">
        <v>26</v>
      </c>
      <c r="E43" s="1" t="s">
        <v>478</v>
      </c>
      <c r="F43" s="1" t="s">
        <v>304</v>
      </c>
      <c r="G43" s="1" t="s">
        <v>305</v>
      </c>
      <c r="H43" s="1" t="s">
        <v>306</v>
      </c>
      <c r="I43" s="1" t="s">
        <v>307</v>
      </c>
      <c r="J43" s="1" t="s">
        <v>308</v>
      </c>
      <c r="K43" s="1" t="s">
        <v>364</v>
      </c>
      <c r="M43" s="1" t="s">
        <v>309</v>
      </c>
      <c r="N43" s="1" t="s">
        <v>310</v>
      </c>
      <c r="O43" s="1" t="s">
        <v>311</v>
      </c>
      <c r="Q43" s="1" t="s">
        <v>312</v>
      </c>
      <c r="R43" s="1" t="s">
        <v>313</v>
      </c>
      <c r="S43" s="1" t="s">
        <v>314</v>
      </c>
      <c r="U43" s="1" t="s">
        <v>315</v>
      </c>
      <c r="V43" s="1" t="s">
        <v>316</v>
      </c>
      <c r="W43" s="1" t="s">
        <v>317</v>
      </c>
    </row>
    <row r="44" spans="1:23" x14ac:dyDescent="0.25">
      <c r="A44" s="1" t="s">
        <v>26</v>
      </c>
      <c r="E44" s="1" t="s">
        <v>479</v>
      </c>
      <c r="F44" s="1" t="s">
        <v>318</v>
      </c>
      <c r="G44" s="1" t="s">
        <v>319</v>
      </c>
      <c r="H44" s="1" t="s">
        <v>320</v>
      </c>
      <c r="I44" s="1" t="s">
        <v>321</v>
      </c>
      <c r="J44" s="1" t="s">
        <v>322</v>
      </c>
      <c r="K44" s="1" t="s">
        <v>365</v>
      </c>
      <c r="M44" s="1" t="s">
        <v>323</v>
      </c>
      <c r="N44" s="1" t="s">
        <v>324</v>
      </c>
      <c r="O44" s="1" t="s">
        <v>325</v>
      </c>
      <c r="Q44" s="1" t="s">
        <v>326</v>
      </c>
      <c r="R44" s="1" t="s">
        <v>327</v>
      </c>
      <c r="S44" s="1" t="s">
        <v>328</v>
      </c>
      <c r="U44" s="1" t="s">
        <v>329</v>
      </c>
      <c r="V44" s="1" t="s">
        <v>330</v>
      </c>
      <c r="W44" s="1" t="s">
        <v>331</v>
      </c>
    </row>
    <row r="45" spans="1:23" x14ac:dyDescent="0.25">
      <c r="A45" s="1" t="s">
        <v>26</v>
      </c>
      <c r="E45" s="1" t="s">
        <v>480</v>
      </c>
      <c r="F45" s="1" t="s">
        <v>332</v>
      </c>
      <c r="G45" s="1" t="s">
        <v>333</v>
      </c>
      <c r="H45" s="1" t="s">
        <v>334</v>
      </c>
      <c r="I45" s="1" t="s">
        <v>335</v>
      </c>
      <c r="J45" s="1" t="s">
        <v>336</v>
      </c>
      <c r="K45" s="1" t="s">
        <v>366</v>
      </c>
      <c r="M45" s="1" t="s">
        <v>337</v>
      </c>
      <c r="N45" s="1" t="s">
        <v>338</v>
      </c>
      <c r="O45" s="1" t="s">
        <v>339</v>
      </c>
      <c r="Q45" s="1" t="s">
        <v>340</v>
      </c>
      <c r="R45" s="1" t="s">
        <v>341</v>
      </c>
      <c r="S45" s="1" t="s">
        <v>342</v>
      </c>
      <c r="U45" s="1" t="s">
        <v>343</v>
      </c>
      <c r="V45" s="1" t="s">
        <v>344</v>
      </c>
      <c r="W45" s="1" t="s">
        <v>345</v>
      </c>
    </row>
    <row r="46" spans="1:23" x14ac:dyDescent="0.25">
      <c r="A46" s="1" t="s">
        <v>22</v>
      </c>
      <c r="F46" s="1" t="s">
        <v>27</v>
      </c>
      <c r="H46" s="1" t="s">
        <v>346</v>
      </c>
      <c r="U46" s="1" t="s">
        <v>28</v>
      </c>
    </row>
    <row r="48" spans="1:23" x14ac:dyDescent="0.25">
      <c r="J48" s="1" t="s">
        <v>504</v>
      </c>
      <c r="K48" s="1" t="s">
        <v>367</v>
      </c>
      <c r="M48" s="1" t="s">
        <v>368</v>
      </c>
      <c r="Q48" s="1" t="s">
        <v>369</v>
      </c>
      <c r="U48" s="1" t="s">
        <v>370</v>
      </c>
    </row>
    <row r="50" spans="10:21" x14ac:dyDescent="0.25">
      <c r="J50" s="1" t="s">
        <v>503</v>
      </c>
      <c r="K50" s="1" t="s">
        <v>371</v>
      </c>
      <c r="M50" s="1" t="s">
        <v>372</v>
      </c>
      <c r="Q50" s="1" t="s">
        <v>373</v>
      </c>
      <c r="U50" s="1" t="s">
        <v>374</v>
      </c>
    </row>
    <row r="52" spans="10:21" x14ac:dyDescent="0.25">
      <c r="J52" s="1" t="s">
        <v>502</v>
      </c>
      <c r="K52" s="1" t="s">
        <v>375</v>
      </c>
      <c r="M52" s="1" t="s">
        <v>376</v>
      </c>
      <c r="Q52" s="1" t="s">
        <v>377</v>
      </c>
      <c r="U52" s="1" t="s">
        <v>378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Options</vt:lpstr>
      <vt:lpstr>Kundenumsatzanalyse</vt:lpstr>
      <vt:lpstr>READ ME</vt:lpstr>
      <vt:lpstr>CustNo</vt:lpstr>
      <vt:lpstr>CustPostGrp</vt:lpstr>
      <vt:lpstr>Kundenumsatzanalyse!Druckbereich</vt:lpstr>
      <vt:lpstr>ReportDate</vt:lpstr>
      <vt:lpstr>SalesAmt</vt:lpstr>
      <vt:lpstr>SalespersonCode</vt:lpstr>
      <vt:lpstr>ShowLYSales</vt:lpstr>
      <vt:lpstr>TopCustomers</vt:lpstr>
    </vt:vector>
  </TitlesOfParts>
  <Company>Jet Reports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Essentials- Top Customer Sales Analysis</dc:title>
  <dc:creator>Amy Homan</dc:creator>
  <dc:description>This reports shows the Top Customer Sales Analysis with Graph</dc:description>
  <cp:lastModifiedBy>Frank Mielcke</cp:lastModifiedBy>
  <cp:lastPrinted>2014-01-08T22:46:09Z</cp:lastPrinted>
  <dcterms:created xsi:type="dcterms:W3CDTF">2006-11-13T15:32:03Z</dcterms:created>
  <dcterms:modified xsi:type="dcterms:W3CDTF">2017-04-16T17:48:24Z</dcterms:modified>
  <cp:category>SALES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true</vt:bool>
  </property>
  <property fmtid="{D5CDD505-2E9C-101B-9397-08002B2CF9AE}" pid="4" name="Jet Reports Last Version Refresh">
    <vt:lpwstr>Version 5.2.8  Released 11/1/2006 10:36:39 AM</vt:lpwstr>
  </property>
  <property fmtid="{D5CDD505-2E9C-101B-9397-08002B2CF9AE}" pid="5" name="Jet Reports Design Mode Active">
    <vt:bool>false</vt:bool>
  </property>
  <property fmtid="{D5CDD505-2E9C-101B-9397-08002B2CF9AE}" pid="6" name="OriginalName">
    <vt:lpwstr>SALES Top Customer Sales Analysis with Graph.xls</vt:lpwstr>
  </property>
</Properties>
</file>